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checkCompatibility="1" defaultThemeVersion="124226"/>
  <bookViews>
    <workbookView xWindow="15465" yWindow="0" windowWidth="3735" windowHeight="4665" tabRatio="870" firstSheet="26" activeTab="31"/>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D Working Capital" sheetId="74" r:id="rId15"/>
    <sheet name="PSO WS E IPP Credits" sheetId="52" r:id="rId16"/>
    <sheet name="PSO WS F BPU ATRR" sheetId="143" r:id="rId17"/>
    <sheet name="PSO WS G BPU ATRR" sheetId="129" r:id="rId18"/>
    <sheet name="PSO WS H Rev Credits" sheetId="96" r:id="rId19"/>
    <sheet name="PSO WS I Exp Adj" sheetId="91" r:id="rId20"/>
    <sheet name="PSO WS J Misc Exp" sheetId="39" r:id="rId21"/>
    <sheet name="PSO WS K State Taxes" sheetId="94" r:id="rId22"/>
    <sheet name="PSO WS L Other Taxes" sheetId="78" r:id="rId23"/>
    <sheet name="PSO WS M - Cost of Capital" sheetId="203" r:id="rId24"/>
    <sheet name="PSO WS N Sch 11 TU" sheetId="178" r:id="rId25"/>
    <sheet name="PSO WS O Sch 9 NITS TU" sheetId="179" r:id="rId26"/>
    <sheet name="PSO WS P Sch 1 NITS TU" sheetId="196" r:id="rId27"/>
    <sheet name="PSO WS Q Interest Rate" sheetId="180" r:id="rId28"/>
    <sheet name="PSO WS R Unfunded Reserves" sheetId="189" r:id="rId29"/>
    <sheet name="PSO WS S Reg Assets" sheetId="190" r:id="rId30"/>
    <sheet name="PSO WS T - Dep Rates" sheetId="194" r:id="rId31"/>
    <sheet name="SWEPCO TCOS" sheetId="204" r:id="rId32"/>
    <sheet name="SWEPCO WS A-1 - Plant" sheetId="205" r:id="rId33"/>
    <sheet name="SWEPCO WS A-2 Accumulated Depn" sheetId="206" r:id="rId34"/>
    <sheet name="SWEPCO WS B - Facility credits" sheetId="207" r:id="rId35"/>
    <sheet name="SWEPCO WS C ADIT &amp; ADITC" sheetId="208" r:id="rId36"/>
    <sheet name="SWEPCO WS C-1 ADIT EOY" sheetId="209" r:id="rId37"/>
    <sheet name="SWEPCO WS C-2 ADIT BOY" sheetId="210" r:id="rId38"/>
    <sheet name="SWEPCO WS C-3 ADIT Proration" sheetId="211" r:id="rId39"/>
    <sheet name="SWEPCO WS C-4 Excess FIT" sheetId="212" r:id="rId40"/>
    <sheet name="SWEPCO WS D Working Capital" sheetId="213" r:id="rId41"/>
    <sheet name="SWEPCO WS E IPP Credits" sheetId="214" r:id="rId42"/>
    <sheet name="SWEPCO WS F BPU ATRR" sheetId="215" r:id="rId43"/>
    <sheet name="SWEPCO WS G BPU ATRR" sheetId="216" r:id="rId44"/>
    <sheet name="SWEPCO WS H Rev Credits" sheetId="217" r:id="rId45"/>
    <sheet name="SWEPCO WS I Exp Adj" sheetId="218" r:id="rId46"/>
    <sheet name="SWEPCO WS J Misc Exp" sheetId="219" r:id="rId47"/>
    <sheet name="SWEPCO WS K State Taxes" sheetId="220" r:id="rId48"/>
    <sheet name="SWEPCO WS L Other Taxes" sheetId="221" r:id="rId49"/>
    <sheet name="SWEPCO WS M - Cost of Capital" sheetId="222" r:id="rId50"/>
    <sheet name="SWEPCO WS N Sch 11 TU" sheetId="223" r:id="rId51"/>
    <sheet name="SWEPCO WS O Sch 9 NITS TU" sheetId="224" r:id="rId52"/>
    <sheet name="SWEPCO WS P Sch 1 NITS TU" sheetId="225" r:id="rId53"/>
    <sheet name="SWEPCO WS Q Interest Rate" sheetId="226" r:id="rId54"/>
    <sheet name="SWEPCO WS R Unfunded Reserves" sheetId="227" r:id="rId55"/>
    <sheet name="SWEPCO WS S Reg Assets" sheetId="228" r:id="rId56"/>
    <sheet name="SWEPCO WS T - Dep Rates" sheetId="229" r:id="rId57"/>
  </sheets>
  <definedNames>
    <definedName name="_xlnm.Print_Area" localSheetId="2">'PSO Sch 11 Rates'!$A$1:$T$48</definedName>
    <definedName name="_xlnm.Print_Area" localSheetId="13">'PSO WS C-4 Excess FIT'!$A$1:$I$49</definedName>
    <definedName name="_xlnm.Print_Area" localSheetId="16">'PSO WS F BPU ATRR'!$A$1:$O$164</definedName>
    <definedName name="_xlnm.Print_Area" localSheetId="17">'PSO WS G BPU ATRR'!$A$1:$Q$166</definedName>
    <definedName name="_xlnm.Print_Area" localSheetId="23">'PSO WS M - Cost of Capital'!$A$1:$L$119</definedName>
    <definedName name="_xlnm.Print_Area" localSheetId="3">'SWE Sch 11 Rates'!$A$1:$T$94</definedName>
    <definedName name="_xlnm.Print_Area" localSheetId="42">'SWEPCO WS F BPU ATRR'!$A$1:$O$164</definedName>
    <definedName name="_xlnm.Print_Area" localSheetId="43">'SWEPCO WS G BPU ATRR'!$A$1:$P$166</definedName>
    <definedName name="_xlnm.Print_Titles" localSheetId="2">'PSO Sch 11 Rates'!$2:$16</definedName>
    <definedName name="_xlnm.Print_Titles" localSheetId="3">'SWE Sch 11 Rates'!$2:$16</definedName>
    <definedName name="Z_3768C7C8_9953_11DA_B318_000FB55D51DC_.wvu.PrintArea" localSheetId="14" hidden="1">'PSO WS D Working Capital'!$A$9:$Q$53</definedName>
    <definedName name="Z_3768C7C8_9953_11DA_B318_000FB55D51DC_.wvu.PrintArea" localSheetId="28" hidden="1">'PSO WS R Unfunded Reserves'!#REF!</definedName>
    <definedName name="Z_3768C7C8_9953_11DA_B318_000FB55D51DC_.wvu.PrintArea" localSheetId="29" hidden="1">'PSO WS S Reg Assets'!#REF!</definedName>
    <definedName name="Z_3768C7C8_9953_11DA_B318_000FB55D51DC_.wvu.PrintArea" localSheetId="40" hidden="1">'SWEPCO WS D Working Capital'!$A$9:$Q$53</definedName>
    <definedName name="Z_3768C7C8_9953_11DA_B318_000FB55D51DC_.wvu.PrintArea" localSheetId="54" hidden="1">'SWEPCO WS R Unfunded Reserves'!#REF!</definedName>
    <definedName name="Z_3768C7C8_9953_11DA_B318_000FB55D51DC_.wvu.PrintArea" localSheetId="55" hidden="1">'SWEPCO WS S Reg Assets'!#REF!</definedName>
    <definedName name="Z_3768C7C8_9953_11DA_B318_000FB55D51DC_.wvu.PrintTitles" localSheetId="14" hidden="1">'PSO WS D Working Capital'!#REF!</definedName>
    <definedName name="Z_3768C7C8_9953_11DA_B318_000FB55D51DC_.wvu.PrintTitles" localSheetId="28" hidden="1">'PSO WS R Unfunded Reserves'!#REF!</definedName>
    <definedName name="Z_3768C7C8_9953_11DA_B318_000FB55D51DC_.wvu.PrintTitles" localSheetId="29" hidden="1">'PSO WS S Reg Assets'!#REF!</definedName>
    <definedName name="Z_3768C7C8_9953_11DA_B318_000FB55D51DC_.wvu.PrintTitles" localSheetId="40" hidden="1">'SWEPCO WS D Working Capital'!#REF!</definedName>
    <definedName name="Z_3768C7C8_9953_11DA_B318_000FB55D51DC_.wvu.PrintTitles" localSheetId="54" hidden="1">'SWEPCO WS R Unfunded Reserves'!#REF!</definedName>
    <definedName name="Z_3768C7C8_9953_11DA_B318_000FB55D51DC_.wvu.PrintTitles" localSheetId="55" hidden="1">'SWEPCO WS S Reg Assets'!#REF!</definedName>
    <definedName name="Z_3768C7C8_9953_11DA_B318_000FB55D51DC_.wvu.Rows" localSheetId="14" hidden="1">'PSO WS D Working Capital'!#REF!</definedName>
    <definedName name="Z_3768C7C8_9953_11DA_B318_000FB55D51DC_.wvu.Rows" localSheetId="28" hidden="1">'PSO WS R Unfunded Reserves'!#REF!</definedName>
    <definedName name="Z_3768C7C8_9953_11DA_B318_000FB55D51DC_.wvu.Rows" localSheetId="29" hidden="1">'PSO WS S Reg Assets'!#REF!</definedName>
    <definedName name="Z_3768C7C8_9953_11DA_B318_000FB55D51DC_.wvu.Rows" localSheetId="40" hidden="1">'SWEPCO WS D Working Capital'!#REF!</definedName>
    <definedName name="Z_3768C7C8_9953_11DA_B318_000FB55D51DC_.wvu.Rows" localSheetId="54" hidden="1">'SWEPCO WS R Unfunded Reserves'!#REF!</definedName>
    <definedName name="Z_3768C7C8_9953_11DA_B318_000FB55D51DC_.wvu.Rows" localSheetId="55" hidden="1">'SWEPCO WS S Reg Assets'!#REF!</definedName>
    <definedName name="Z_3BDD6235_B127_4929_8311_BDAF7BB89818_.wvu.PrintArea" localSheetId="14" hidden="1">'PSO WS D Working Capital'!$A$9:$Q$53</definedName>
    <definedName name="Z_3BDD6235_B127_4929_8311_BDAF7BB89818_.wvu.PrintArea" localSheetId="28" hidden="1">'PSO WS R Unfunded Reserves'!#REF!</definedName>
    <definedName name="Z_3BDD6235_B127_4929_8311_BDAF7BB89818_.wvu.PrintArea" localSheetId="29" hidden="1">'PSO WS S Reg Assets'!#REF!</definedName>
    <definedName name="Z_3BDD6235_B127_4929_8311_BDAF7BB89818_.wvu.PrintArea" localSheetId="40" hidden="1">'SWEPCO WS D Working Capital'!$A$9:$Q$53</definedName>
    <definedName name="Z_3BDD6235_B127_4929_8311_BDAF7BB89818_.wvu.PrintArea" localSheetId="54" hidden="1">'SWEPCO WS R Unfunded Reserves'!#REF!</definedName>
    <definedName name="Z_3BDD6235_B127_4929_8311_BDAF7BB89818_.wvu.PrintArea" localSheetId="55" hidden="1">'SWEPCO WS S Reg Assets'!#REF!</definedName>
    <definedName name="Z_3BDD6235_B127_4929_8311_BDAF7BB89818_.wvu.PrintTitles" localSheetId="14" hidden="1">'PSO WS D Working Capital'!#REF!</definedName>
    <definedName name="Z_3BDD6235_B127_4929_8311_BDAF7BB89818_.wvu.PrintTitles" localSheetId="28" hidden="1">'PSO WS R Unfunded Reserves'!#REF!</definedName>
    <definedName name="Z_3BDD6235_B127_4929_8311_BDAF7BB89818_.wvu.PrintTitles" localSheetId="29" hidden="1">'PSO WS S Reg Assets'!#REF!</definedName>
    <definedName name="Z_3BDD6235_B127_4929_8311_BDAF7BB89818_.wvu.PrintTitles" localSheetId="40" hidden="1">'SWEPCO WS D Working Capital'!#REF!</definedName>
    <definedName name="Z_3BDD6235_B127_4929_8311_BDAF7BB89818_.wvu.PrintTitles" localSheetId="54" hidden="1">'SWEPCO WS R Unfunded Reserves'!#REF!</definedName>
    <definedName name="Z_3BDD6235_B127_4929_8311_BDAF7BB89818_.wvu.PrintTitles" localSheetId="55" hidden="1">'SWEPCO WS S Reg Assets'!#REF!</definedName>
    <definedName name="Z_3BDD6235_B127_4929_8311_BDAF7BB89818_.wvu.Rows" localSheetId="14" hidden="1">'PSO WS D Working Capital'!#REF!</definedName>
    <definedName name="Z_3BDD6235_B127_4929_8311_BDAF7BB89818_.wvu.Rows" localSheetId="28" hidden="1">'PSO WS R Unfunded Reserves'!#REF!</definedName>
    <definedName name="Z_3BDD6235_B127_4929_8311_BDAF7BB89818_.wvu.Rows" localSheetId="29" hidden="1">'PSO WS S Reg Assets'!#REF!</definedName>
    <definedName name="Z_3BDD6235_B127_4929_8311_BDAF7BB89818_.wvu.Rows" localSheetId="40" hidden="1">'SWEPCO WS D Working Capital'!#REF!</definedName>
    <definedName name="Z_3BDD6235_B127_4929_8311_BDAF7BB89818_.wvu.Rows" localSheetId="54" hidden="1">'SWEPCO WS R Unfunded Reserves'!#REF!</definedName>
    <definedName name="Z_3BDD6235_B127_4929_8311_BDAF7BB89818_.wvu.Rows" localSheetId="55" hidden="1">'SWEPCO WS S Reg Assets'!#REF!</definedName>
    <definedName name="Z_B0241363_5C8A_48FC_89A6_56D55586BABE_.wvu.PrintArea" localSheetId="14" hidden="1">'PSO WS D Working Capital'!$A$9:$Q$53</definedName>
    <definedName name="Z_B0241363_5C8A_48FC_89A6_56D55586BABE_.wvu.PrintArea" localSheetId="28" hidden="1">'PSO WS R Unfunded Reserves'!#REF!</definedName>
    <definedName name="Z_B0241363_5C8A_48FC_89A6_56D55586BABE_.wvu.PrintArea" localSheetId="29" hidden="1">'PSO WS S Reg Assets'!#REF!</definedName>
    <definedName name="Z_B0241363_5C8A_48FC_89A6_56D55586BABE_.wvu.PrintArea" localSheetId="40" hidden="1">'SWEPCO WS D Working Capital'!$A$9:$Q$53</definedName>
    <definedName name="Z_B0241363_5C8A_48FC_89A6_56D55586BABE_.wvu.PrintArea" localSheetId="54" hidden="1">'SWEPCO WS R Unfunded Reserves'!#REF!</definedName>
    <definedName name="Z_B0241363_5C8A_48FC_89A6_56D55586BABE_.wvu.PrintArea" localSheetId="55" hidden="1">'SWEPCO WS S Reg Assets'!#REF!</definedName>
    <definedName name="Z_B0241363_5C8A_48FC_89A6_56D55586BABE_.wvu.PrintTitles" localSheetId="14" hidden="1">'PSO WS D Working Capital'!#REF!</definedName>
    <definedName name="Z_B0241363_5C8A_48FC_89A6_56D55586BABE_.wvu.PrintTitles" localSheetId="28" hidden="1">'PSO WS R Unfunded Reserves'!#REF!</definedName>
    <definedName name="Z_B0241363_5C8A_48FC_89A6_56D55586BABE_.wvu.PrintTitles" localSheetId="29" hidden="1">'PSO WS S Reg Assets'!#REF!</definedName>
    <definedName name="Z_B0241363_5C8A_48FC_89A6_56D55586BABE_.wvu.PrintTitles" localSheetId="40" hidden="1">'SWEPCO WS D Working Capital'!#REF!</definedName>
    <definedName name="Z_B0241363_5C8A_48FC_89A6_56D55586BABE_.wvu.PrintTitles" localSheetId="54" hidden="1">'SWEPCO WS R Unfunded Reserves'!#REF!</definedName>
    <definedName name="Z_B0241363_5C8A_48FC_89A6_56D55586BABE_.wvu.PrintTitles" localSheetId="55" hidden="1">'SWEPCO WS S Reg Assets'!#REF!</definedName>
    <definedName name="Z_B0241363_5C8A_48FC_89A6_56D55586BABE_.wvu.Rows" localSheetId="14" hidden="1">'PSO WS D Working Capital'!#REF!</definedName>
    <definedName name="Z_B0241363_5C8A_48FC_89A6_56D55586BABE_.wvu.Rows" localSheetId="28" hidden="1">'PSO WS R Unfunded Reserves'!#REF!</definedName>
    <definedName name="Z_B0241363_5C8A_48FC_89A6_56D55586BABE_.wvu.Rows" localSheetId="29" hidden="1">'PSO WS S Reg Assets'!#REF!</definedName>
    <definedName name="Z_B0241363_5C8A_48FC_89A6_56D55586BABE_.wvu.Rows" localSheetId="40" hidden="1">'SWEPCO WS D Working Capital'!#REF!</definedName>
    <definedName name="Z_B0241363_5C8A_48FC_89A6_56D55586BABE_.wvu.Rows" localSheetId="54" hidden="1">'SWEPCO WS R Unfunded Reserves'!#REF!</definedName>
    <definedName name="Z_B0241363_5C8A_48FC_89A6_56D55586BABE_.wvu.Rows" localSheetId="55" hidden="1">'SWEPCO WS S Reg Assets'!#REF!</definedName>
    <definedName name="Z_C0EA0F9F_7310_4201_82C9_7B8FC8DB9137_.wvu.PrintArea" localSheetId="14" hidden="1">'PSO WS D Working Capital'!$A$9:$Q$53</definedName>
    <definedName name="Z_C0EA0F9F_7310_4201_82C9_7B8FC8DB9137_.wvu.PrintArea" localSheetId="28" hidden="1">'PSO WS R Unfunded Reserves'!#REF!</definedName>
    <definedName name="Z_C0EA0F9F_7310_4201_82C9_7B8FC8DB9137_.wvu.PrintArea" localSheetId="29" hidden="1">'PSO WS S Reg Assets'!#REF!</definedName>
    <definedName name="Z_C0EA0F9F_7310_4201_82C9_7B8FC8DB9137_.wvu.PrintArea" localSheetId="40" hidden="1">'SWEPCO WS D Working Capital'!$A$9:$Q$53</definedName>
    <definedName name="Z_C0EA0F9F_7310_4201_82C9_7B8FC8DB9137_.wvu.PrintArea" localSheetId="54" hidden="1">'SWEPCO WS R Unfunded Reserves'!#REF!</definedName>
    <definedName name="Z_C0EA0F9F_7310_4201_82C9_7B8FC8DB9137_.wvu.PrintArea" localSheetId="55" hidden="1">'SWEPCO WS S Reg Assets'!#REF!</definedName>
    <definedName name="Z_C0EA0F9F_7310_4201_82C9_7B8FC8DB9137_.wvu.PrintTitles" localSheetId="14" hidden="1">'PSO WS D Working Capital'!#REF!</definedName>
    <definedName name="Z_C0EA0F9F_7310_4201_82C9_7B8FC8DB9137_.wvu.PrintTitles" localSheetId="28" hidden="1">'PSO WS R Unfunded Reserves'!#REF!</definedName>
    <definedName name="Z_C0EA0F9F_7310_4201_82C9_7B8FC8DB9137_.wvu.PrintTitles" localSheetId="29" hidden="1">'PSO WS S Reg Assets'!#REF!</definedName>
    <definedName name="Z_C0EA0F9F_7310_4201_82C9_7B8FC8DB9137_.wvu.PrintTitles" localSheetId="40" hidden="1">'SWEPCO WS D Working Capital'!#REF!</definedName>
    <definedName name="Z_C0EA0F9F_7310_4201_82C9_7B8FC8DB9137_.wvu.PrintTitles" localSheetId="54" hidden="1">'SWEPCO WS R Unfunded Reserves'!#REF!</definedName>
    <definedName name="Z_C0EA0F9F_7310_4201_82C9_7B8FC8DB9137_.wvu.PrintTitles" localSheetId="55" hidden="1">'SWEPCO WS S Reg Assets'!#REF!</definedName>
    <definedName name="Z_C0EA0F9F_7310_4201_82C9_7B8FC8DB9137_.wvu.Rows" localSheetId="14" hidden="1">'PSO WS D Working Capital'!#REF!</definedName>
    <definedName name="Z_C0EA0F9F_7310_4201_82C9_7B8FC8DB9137_.wvu.Rows" localSheetId="28" hidden="1">'PSO WS R Unfunded Reserves'!#REF!</definedName>
    <definedName name="Z_C0EA0F9F_7310_4201_82C9_7B8FC8DB9137_.wvu.Rows" localSheetId="29" hidden="1">'PSO WS S Reg Assets'!#REF!</definedName>
    <definedName name="Z_C0EA0F9F_7310_4201_82C9_7B8FC8DB9137_.wvu.Rows" localSheetId="40" hidden="1">'SWEPCO WS D Working Capital'!#REF!</definedName>
    <definedName name="Z_C0EA0F9F_7310_4201_82C9_7B8FC8DB9137_.wvu.Rows" localSheetId="54" hidden="1">'SWEPCO WS R Unfunded Reserves'!#REF!</definedName>
    <definedName name="Z_C0EA0F9F_7310_4201_82C9_7B8FC8DB9137_.wvu.Rows" localSheetId="55" hidden="1">'SWEPCO WS S Reg Assets'!#REF!</definedName>
  </definedNames>
  <calcPr calcId="162913"/>
</workbook>
</file>

<file path=xl/calcChain.xml><?xml version="1.0" encoding="utf-8"?>
<calcChain xmlns="http://schemas.openxmlformats.org/spreadsheetml/2006/main">
  <c r="L174" i="204" l="1"/>
  <c r="L174" i="86"/>
  <c r="N192" i="86"/>
  <c r="N190" i="86"/>
  <c r="N189" i="86"/>
  <c r="N187" i="86"/>
  <c r="N186" i="86"/>
  <c r="N185" i="86"/>
  <c r="N183" i="86"/>
  <c r="N181" i="86"/>
  <c r="N176" i="86"/>
  <c r="N173" i="86"/>
  <c r="N172" i="86"/>
  <c r="N171" i="86"/>
  <c r="N170" i="86"/>
  <c r="N169" i="86"/>
  <c r="N168" i="86"/>
  <c r="N167" i="86"/>
  <c r="N166" i="86"/>
  <c r="N163" i="86"/>
  <c r="N161" i="86"/>
  <c r="N159" i="86"/>
  <c r="N158" i="86"/>
  <c r="N157" i="86"/>
  <c r="N152" i="86"/>
  <c r="N151" i="86"/>
  <c r="N149" i="86"/>
  <c r="N141" i="86"/>
  <c r="N140" i="86"/>
  <c r="N139" i="86"/>
  <c r="N138" i="86"/>
  <c r="N137" i="86"/>
  <c r="N136" i="86"/>
  <c r="N135" i="86"/>
  <c r="N133" i="86"/>
  <c r="N132" i="86"/>
  <c r="N131" i="86"/>
  <c r="N130" i="86"/>
  <c r="N129" i="86"/>
  <c r="N128" i="86"/>
  <c r="N127" i="86"/>
  <c r="N126" i="86"/>
  <c r="N125" i="86"/>
  <c r="N124" i="86"/>
  <c r="N123" i="86"/>
  <c r="N122" i="86"/>
  <c r="N121" i="86"/>
  <c r="N120" i="86"/>
  <c r="N119" i="86"/>
  <c r="N118" i="86"/>
  <c r="N117" i="86"/>
  <c r="N116" i="86"/>
  <c r="N115" i="86"/>
  <c r="N114" i="86"/>
  <c r="N112" i="86"/>
  <c r="N110" i="86"/>
  <c r="N107" i="86"/>
  <c r="N100" i="86"/>
  <c r="N99" i="86"/>
  <c r="N97" i="86"/>
  <c r="N96" i="86"/>
  <c r="N95" i="86"/>
  <c r="N94" i="86"/>
  <c r="N93" i="86"/>
  <c r="N87" i="86"/>
  <c r="N86" i="86"/>
  <c r="N85" i="86"/>
  <c r="N84" i="86"/>
  <c r="N80" i="86"/>
  <c r="N78" i="86"/>
  <c r="N77" i="86"/>
  <c r="N76" i="86"/>
  <c r="N71" i="86"/>
  <c r="N70" i="86"/>
  <c r="N67" i="86"/>
  <c r="N66" i="86"/>
  <c r="N65" i="86"/>
  <c r="N64" i="86"/>
  <c r="N59" i="86"/>
  <c r="N58" i="86"/>
  <c r="N55" i="86"/>
  <c r="N54" i="86"/>
  <c r="N53" i="86"/>
  <c r="N52" i="86"/>
  <c r="N51" i="86"/>
  <c r="N50" i="86"/>
  <c r="N49" i="86"/>
  <c r="N48" i="86"/>
  <c r="N47" i="86"/>
  <c r="N46" i="86"/>
  <c r="N45" i="86"/>
  <c r="N44" i="86"/>
  <c r="N43" i="86"/>
  <c r="N42" i="86"/>
  <c r="N41" i="86"/>
  <c r="N40" i="86"/>
  <c r="N39" i="86"/>
  <c r="N38" i="86"/>
  <c r="N37" i="86"/>
  <c r="N36" i="86"/>
  <c r="N35" i="86"/>
  <c r="N34" i="86"/>
  <c r="N32" i="86"/>
  <c r="N31" i="86"/>
  <c r="N29" i="86"/>
  <c r="N28" i="86"/>
  <c r="N25" i="86"/>
  <c r="N24" i="86"/>
  <c r="N23" i="86"/>
  <c r="N22" i="86"/>
  <c r="N21" i="86"/>
  <c r="N20" i="86"/>
  <c r="N19" i="86"/>
  <c r="N17" i="86"/>
  <c r="N16" i="86"/>
  <c r="N15" i="86"/>
  <c r="N13" i="86"/>
  <c r="M51" i="210" l="1"/>
  <c r="N192" i="204"/>
  <c r="N190" i="204"/>
  <c r="N189" i="204"/>
  <c r="N187" i="204"/>
  <c r="N185" i="204"/>
  <c r="N183" i="204"/>
  <c r="N181" i="204"/>
  <c r="N176" i="204"/>
  <c r="N173" i="204"/>
  <c r="N172" i="204"/>
  <c r="N171" i="204"/>
  <c r="N170" i="204"/>
  <c r="N169" i="204"/>
  <c r="N168" i="204"/>
  <c r="N167" i="204"/>
  <c r="N166" i="204"/>
  <c r="N161" i="204"/>
  <c r="N159" i="204"/>
  <c r="N158" i="204"/>
  <c r="N157" i="204"/>
  <c r="N152" i="204"/>
  <c r="N151" i="204"/>
  <c r="N149" i="204"/>
  <c r="N141" i="204"/>
  <c r="N140" i="204"/>
  <c r="N139" i="204"/>
  <c r="N138" i="204"/>
  <c r="N137" i="204"/>
  <c r="N136" i="204"/>
  <c r="N135" i="204"/>
  <c r="N133" i="204"/>
  <c r="N132" i="204"/>
  <c r="N131" i="204"/>
  <c r="N130" i="204"/>
  <c r="N129" i="204"/>
  <c r="N128" i="204"/>
  <c r="N127" i="204"/>
  <c r="N126" i="204"/>
  <c r="N123" i="204"/>
  <c r="N122" i="204"/>
  <c r="N121" i="204"/>
  <c r="N120" i="204"/>
  <c r="N119" i="204"/>
  <c r="N118" i="204"/>
  <c r="N117" i="204"/>
  <c r="N116" i="204"/>
  <c r="N115" i="204"/>
  <c r="N114" i="204"/>
  <c r="N112" i="204"/>
  <c r="N110" i="204"/>
  <c r="N100" i="204"/>
  <c r="N99" i="204"/>
  <c r="N97" i="204"/>
  <c r="N95" i="204"/>
  <c r="N93" i="204"/>
  <c r="N87" i="204"/>
  <c r="N86" i="204"/>
  <c r="N85" i="204"/>
  <c r="N84" i="204"/>
  <c r="N77" i="204"/>
  <c r="N76" i="204"/>
  <c r="N65" i="204"/>
  <c r="N64" i="204"/>
  <c r="N53" i="204"/>
  <c r="N52" i="204"/>
  <c r="N51" i="204"/>
  <c r="N50" i="204"/>
  <c r="N49" i="204"/>
  <c r="N48" i="204"/>
  <c r="N47" i="204"/>
  <c r="N46" i="204"/>
  <c r="N45" i="204"/>
  <c r="N44" i="204"/>
  <c r="N43" i="204"/>
  <c r="N42" i="204"/>
  <c r="N41" i="204"/>
  <c r="N40" i="204"/>
  <c r="N39" i="204"/>
  <c r="N38" i="204"/>
  <c r="N37" i="204"/>
  <c r="N36" i="204"/>
  <c r="N34" i="204"/>
  <c r="N32" i="204"/>
  <c r="N31" i="204"/>
  <c r="N29" i="204"/>
  <c r="N28" i="204"/>
  <c r="N25" i="204"/>
  <c r="N24" i="204"/>
  <c r="N22" i="204"/>
  <c r="N21" i="204"/>
  <c r="N20" i="204"/>
  <c r="N19" i="204"/>
  <c r="N17" i="204"/>
  <c r="N15" i="204"/>
  <c r="N13" i="204"/>
  <c r="Q53" i="210"/>
  <c r="Q51" i="210" l="1"/>
  <c r="Q49" i="210"/>
  <c r="Q47" i="210"/>
  <c r="L27" i="178" l="1"/>
  <c r="H16" i="149"/>
  <c r="D314" i="86" l="1"/>
  <c r="I19" i="190" l="1"/>
  <c r="A14" i="227" l="1"/>
  <c r="A14" i="189"/>
  <c r="G16" i="189"/>
  <c r="F16" i="189"/>
  <c r="H11" i="189"/>
  <c r="A12" i="189"/>
  <c r="I31" i="228" l="1"/>
  <c r="I31" i="190"/>
  <c r="R14" i="216" l="1"/>
  <c r="J65" i="232"/>
  <c r="P55" i="232"/>
  <c r="O55" i="232"/>
  <c r="N55" i="232"/>
  <c r="L55" i="232"/>
  <c r="G55" i="232"/>
  <c r="F55" i="232"/>
  <c r="E55" i="232"/>
  <c r="J59" i="232" l="1"/>
  <c r="J60" i="232" l="1"/>
  <c r="R31" i="129" l="1"/>
  <c r="R13" i="129"/>
  <c r="G21" i="193" l="1"/>
  <c r="E22" i="193"/>
  <c r="L93" i="90" l="1"/>
  <c r="M93" i="90"/>
  <c r="N93" i="90"/>
  <c r="N175" i="86" l="1"/>
  <c r="N175" i="204"/>
  <c r="E37" i="212" l="1"/>
  <c r="G25" i="212" l="1"/>
  <c r="F25" i="212"/>
  <c r="E41" i="212"/>
  <c r="A22" i="219"/>
  <c r="A19" i="219"/>
  <c r="E19" i="219"/>
  <c r="E23" i="219" l="1"/>
  <c r="E30" i="219"/>
  <c r="H14" i="227" l="1"/>
  <c r="H13" i="227"/>
  <c r="A15" i="227"/>
  <c r="H13" i="189"/>
  <c r="A19" i="39"/>
  <c r="E19" i="39"/>
  <c r="E15" i="39"/>
  <c r="E18" i="39"/>
  <c r="E22" i="39"/>
  <c r="E27" i="39"/>
  <c r="E36" i="226" l="1"/>
  <c r="E35" i="226"/>
  <c r="E34" i="226"/>
  <c r="E33" i="226"/>
  <c r="E32" i="226"/>
  <c r="E31" i="226"/>
  <c r="E36" i="180"/>
  <c r="E35" i="180"/>
  <c r="E34" i="180"/>
  <c r="E33" i="180"/>
  <c r="E32" i="180"/>
  <c r="E31" i="180"/>
  <c r="F66" i="222" l="1"/>
  <c r="C66" i="222"/>
  <c r="H11" i="211" l="1"/>
  <c r="N183" i="210" l="1"/>
  <c r="M183" i="210"/>
  <c r="L183" i="210"/>
  <c r="K183" i="210"/>
  <c r="J183" i="210"/>
  <c r="N182" i="210"/>
  <c r="M182" i="210"/>
  <c r="L182" i="210"/>
  <c r="K182" i="210"/>
  <c r="J182" i="210"/>
  <c r="N181" i="210"/>
  <c r="M181" i="210"/>
  <c r="L181" i="210"/>
  <c r="K181" i="210"/>
  <c r="J181" i="210"/>
  <c r="N178" i="210"/>
  <c r="M178" i="210"/>
  <c r="L178" i="210"/>
  <c r="K178" i="210"/>
  <c r="J178" i="210"/>
  <c r="N177" i="210"/>
  <c r="M177" i="210"/>
  <c r="L177" i="210"/>
  <c r="K177" i="210"/>
  <c r="J177" i="210"/>
  <c r="N176" i="210"/>
  <c r="M176" i="210"/>
  <c r="L176" i="210"/>
  <c r="K176" i="210"/>
  <c r="J176" i="210"/>
  <c r="N175" i="210"/>
  <c r="M175" i="210"/>
  <c r="L175" i="210"/>
  <c r="K175" i="210"/>
  <c r="J175" i="210"/>
  <c r="N174" i="210"/>
  <c r="M174" i="210"/>
  <c r="L174" i="210"/>
  <c r="K174" i="210"/>
  <c r="J174" i="210"/>
  <c r="N173" i="210"/>
  <c r="M173" i="210"/>
  <c r="L173" i="210"/>
  <c r="K173" i="210"/>
  <c r="J173" i="210"/>
  <c r="N172" i="210"/>
  <c r="M172" i="210"/>
  <c r="L172" i="210"/>
  <c r="K172" i="210"/>
  <c r="J172" i="210"/>
  <c r="N171" i="210"/>
  <c r="M171" i="210"/>
  <c r="L171" i="210"/>
  <c r="K171" i="210"/>
  <c r="J171" i="210"/>
  <c r="N170" i="210"/>
  <c r="M170" i="210"/>
  <c r="L170" i="210"/>
  <c r="K170" i="210"/>
  <c r="J170" i="210"/>
  <c r="N169" i="210"/>
  <c r="M169" i="210"/>
  <c r="L169" i="210"/>
  <c r="K169" i="210"/>
  <c r="J169" i="210"/>
  <c r="N168" i="210"/>
  <c r="M168" i="210"/>
  <c r="L168" i="210"/>
  <c r="K168" i="210"/>
  <c r="J168" i="210"/>
  <c r="N167" i="210"/>
  <c r="M167" i="210"/>
  <c r="L167" i="210"/>
  <c r="K167" i="210"/>
  <c r="J167" i="210"/>
  <c r="N166" i="210"/>
  <c r="M166" i="210"/>
  <c r="L166" i="210"/>
  <c r="K166" i="210"/>
  <c r="J166" i="210"/>
  <c r="N165" i="210"/>
  <c r="M165" i="210"/>
  <c r="L165" i="210"/>
  <c r="K165" i="210"/>
  <c r="J165" i="210"/>
  <c r="N164" i="210"/>
  <c r="M164" i="210"/>
  <c r="L164" i="210"/>
  <c r="K164" i="210"/>
  <c r="J164" i="210"/>
  <c r="N163" i="210"/>
  <c r="M163" i="210"/>
  <c r="L163" i="210"/>
  <c r="K163" i="210"/>
  <c r="J163" i="210"/>
  <c r="N162" i="210"/>
  <c r="M162" i="210"/>
  <c r="L162" i="210"/>
  <c r="K162" i="210"/>
  <c r="J162" i="210"/>
  <c r="N161" i="210"/>
  <c r="M161" i="210"/>
  <c r="L161" i="210"/>
  <c r="K161" i="210"/>
  <c r="J161" i="210"/>
  <c r="N160" i="210"/>
  <c r="M160" i="210"/>
  <c r="L160" i="210"/>
  <c r="K160" i="210"/>
  <c r="J160" i="210"/>
  <c r="N159" i="210"/>
  <c r="M159" i="210"/>
  <c r="L159" i="210"/>
  <c r="K159" i="210"/>
  <c r="J159" i="210"/>
  <c r="N158" i="210"/>
  <c r="M158" i="210"/>
  <c r="L158" i="210"/>
  <c r="K158" i="210"/>
  <c r="J158" i="210"/>
  <c r="N157" i="210"/>
  <c r="M157" i="210"/>
  <c r="L157" i="210"/>
  <c r="K157" i="210"/>
  <c r="J157" i="210"/>
  <c r="N156" i="210"/>
  <c r="M156" i="210"/>
  <c r="L156" i="210"/>
  <c r="K156" i="210"/>
  <c r="J156" i="210"/>
  <c r="N155" i="210"/>
  <c r="M155" i="210"/>
  <c r="L155" i="210"/>
  <c r="K155" i="210"/>
  <c r="J155" i="210"/>
  <c r="N154" i="210"/>
  <c r="M154" i="210"/>
  <c r="L154" i="210"/>
  <c r="K154" i="210"/>
  <c r="J154" i="210"/>
  <c r="N153" i="210"/>
  <c r="M153" i="210"/>
  <c r="L153" i="210"/>
  <c r="K153" i="210"/>
  <c r="J153" i="210"/>
  <c r="N152" i="210"/>
  <c r="M152" i="210"/>
  <c r="L152" i="210"/>
  <c r="K152" i="210"/>
  <c r="J152" i="210"/>
  <c r="N151" i="210"/>
  <c r="M151" i="210"/>
  <c r="L151" i="210"/>
  <c r="K151" i="210"/>
  <c r="J151" i="210"/>
  <c r="N150" i="210"/>
  <c r="M150" i="210"/>
  <c r="L150" i="210"/>
  <c r="K150" i="210"/>
  <c r="J150" i="210"/>
  <c r="N149" i="210"/>
  <c r="M149" i="210"/>
  <c r="L149" i="210"/>
  <c r="K149" i="210"/>
  <c r="J149" i="210"/>
  <c r="N148" i="210"/>
  <c r="M148" i="210"/>
  <c r="L148" i="210"/>
  <c r="K148" i="210"/>
  <c r="J148" i="210"/>
  <c r="N147" i="210"/>
  <c r="M147" i="210"/>
  <c r="L147" i="210"/>
  <c r="K147" i="210"/>
  <c r="J147" i="210"/>
  <c r="N146" i="210"/>
  <c r="M146" i="210"/>
  <c r="L146" i="210"/>
  <c r="K146" i="210"/>
  <c r="J146" i="210"/>
  <c r="N145" i="210"/>
  <c r="M145" i="210"/>
  <c r="L145" i="210"/>
  <c r="K145" i="210"/>
  <c r="J145" i="210"/>
  <c r="N144" i="210"/>
  <c r="M144" i="210"/>
  <c r="L144" i="210"/>
  <c r="K144" i="210"/>
  <c r="J144" i="210"/>
  <c r="N143" i="210"/>
  <c r="M143" i="210"/>
  <c r="L143" i="210"/>
  <c r="K143" i="210"/>
  <c r="J143" i="210"/>
  <c r="N142" i="210"/>
  <c r="M142" i="210"/>
  <c r="L142" i="210"/>
  <c r="K142" i="210"/>
  <c r="J142" i="210"/>
  <c r="N141" i="210"/>
  <c r="M141" i="210"/>
  <c r="L141" i="210"/>
  <c r="K141" i="210"/>
  <c r="J141" i="210"/>
  <c r="N140" i="210"/>
  <c r="M140" i="210"/>
  <c r="L140" i="210"/>
  <c r="K140" i="210"/>
  <c r="J140" i="210"/>
  <c r="N139" i="210"/>
  <c r="M139" i="210"/>
  <c r="L139" i="210"/>
  <c r="K139" i="210"/>
  <c r="J139" i="210"/>
  <c r="N138" i="210"/>
  <c r="M138" i="210"/>
  <c r="L138" i="210"/>
  <c r="K138" i="210"/>
  <c r="J138" i="210"/>
  <c r="N137" i="210"/>
  <c r="M137" i="210"/>
  <c r="L137" i="210"/>
  <c r="K137" i="210"/>
  <c r="J137" i="210"/>
  <c r="N136" i="210"/>
  <c r="M136" i="210"/>
  <c r="L136" i="210"/>
  <c r="K136" i="210"/>
  <c r="J136" i="210"/>
  <c r="N135" i="210"/>
  <c r="M135" i="210"/>
  <c r="L135" i="210"/>
  <c r="K135" i="210"/>
  <c r="J135" i="210"/>
  <c r="N134" i="210"/>
  <c r="M134" i="210"/>
  <c r="L134" i="210"/>
  <c r="K134" i="210"/>
  <c r="J134" i="210"/>
  <c r="N133" i="210"/>
  <c r="M133" i="210"/>
  <c r="L133" i="210"/>
  <c r="K133" i="210"/>
  <c r="J133" i="210"/>
  <c r="N132" i="210"/>
  <c r="M132" i="210"/>
  <c r="L132" i="210"/>
  <c r="K132" i="210"/>
  <c r="J132" i="210"/>
  <c r="N131" i="210"/>
  <c r="M131" i="210"/>
  <c r="L131" i="210"/>
  <c r="K131" i="210"/>
  <c r="J131" i="210"/>
  <c r="N130" i="210"/>
  <c r="M130" i="210"/>
  <c r="L130" i="210"/>
  <c r="K130" i="210"/>
  <c r="J130" i="210"/>
  <c r="N129" i="210"/>
  <c r="M129" i="210"/>
  <c r="L129" i="210"/>
  <c r="K129" i="210"/>
  <c r="J129" i="210"/>
  <c r="N128" i="210"/>
  <c r="M128" i="210"/>
  <c r="L128" i="210"/>
  <c r="K128" i="210"/>
  <c r="J128" i="210"/>
  <c r="N127" i="210"/>
  <c r="M127" i="210"/>
  <c r="L127" i="210"/>
  <c r="K127" i="210"/>
  <c r="J127" i="210"/>
  <c r="N126" i="210"/>
  <c r="M126" i="210"/>
  <c r="L126" i="210"/>
  <c r="K126" i="210"/>
  <c r="J126" i="210"/>
  <c r="N125" i="210"/>
  <c r="M125" i="210"/>
  <c r="L125" i="210"/>
  <c r="K125" i="210"/>
  <c r="J125" i="210"/>
  <c r="N124" i="210"/>
  <c r="M124" i="210"/>
  <c r="L124" i="210"/>
  <c r="K124" i="210"/>
  <c r="J124" i="210"/>
  <c r="N123" i="210"/>
  <c r="M123" i="210"/>
  <c r="L123" i="210"/>
  <c r="K123" i="210"/>
  <c r="J123" i="210"/>
  <c r="N122" i="210"/>
  <c r="M122" i="210"/>
  <c r="L122" i="210"/>
  <c r="K122" i="210"/>
  <c r="J122" i="210"/>
  <c r="N121" i="210"/>
  <c r="M121" i="210"/>
  <c r="L121" i="210"/>
  <c r="K121" i="210"/>
  <c r="J121" i="210"/>
  <c r="N120" i="210"/>
  <c r="M120" i="210"/>
  <c r="L120" i="210"/>
  <c r="K120" i="210"/>
  <c r="J120" i="210"/>
  <c r="N119" i="210"/>
  <c r="M119" i="210"/>
  <c r="L119" i="210"/>
  <c r="K119" i="210"/>
  <c r="J119" i="210"/>
  <c r="N118" i="210"/>
  <c r="M118" i="210"/>
  <c r="L118" i="210"/>
  <c r="K118" i="210"/>
  <c r="J118" i="210"/>
  <c r="N117" i="210"/>
  <c r="M117" i="210"/>
  <c r="L117" i="210"/>
  <c r="K117" i="210"/>
  <c r="J117" i="210"/>
  <c r="N116" i="210"/>
  <c r="M116" i="210"/>
  <c r="L116" i="210"/>
  <c r="K116" i="210"/>
  <c r="J116" i="210"/>
  <c r="N115" i="210"/>
  <c r="M115" i="210"/>
  <c r="L115" i="210"/>
  <c r="K115" i="210"/>
  <c r="J115" i="210"/>
  <c r="N114" i="210"/>
  <c r="M114" i="210"/>
  <c r="L114" i="210"/>
  <c r="K114" i="210"/>
  <c r="J114" i="210"/>
  <c r="N99" i="210"/>
  <c r="M99" i="210"/>
  <c r="L99" i="210"/>
  <c r="K99" i="210"/>
  <c r="J99" i="210"/>
  <c r="N98" i="210"/>
  <c r="M98" i="210"/>
  <c r="L98" i="210"/>
  <c r="K98" i="210"/>
  <c r="J98" i="210"/>
  <c r="N97" i="210"/>
  <c r="M97" i="210"/>
  <c r="L97" i="210"/>
  <c r="K97" i="210"/>
  <c r="J97" i="210"/>
  <c r="N96" i="210"/>
  <c r="M96" i="210"/>
  <c r="L96" i="210"/>
  <c r="K96" i="210"/>
  <c r="J96" i="210"/>
  <c r="N95" i="210"/>
  <c r="M95" i="210"/>
  <c r="L95" i="210"/>
  <c r="K95" i="210"/>
  <c r="J95" i="210"/>
  <c r="N94" i="210"/>
  <c r="M94" i="210"/>
  <c r="L94" i="210"/>
  <c r="K94" i="210"/>
  <c r="J94" i="210"/>
  <c r="N93" i="210"/>
  <c r="M93" i="210"/>
  <c r="L93" i="210"/>
  <c r="K93" i="210"/>
  <c r="J93" i="210"/>
  <c r="N92" i="210"/>
  <c r="M92" i="210"/>
  <c r="L92" i="210"/>
  <c r="K92" i="210"/>
  <c r="J92" i="210"/>
  <c r="N91" i="210"/>
  <c r="M91" i="210"/>
  <c r="L91" i="210"/>
  <c r="K91" i="210"/>
  <c r="J91" i="210"/>
  <c r="N90" i="210"/>
  <c r="M90" i="210"/>
  <c r="L90" i="210"/>
  <c r="K90" i="210"/>
  <c r="J90" i="210"/>
  <c r="N89" i="210"/>
  <c r="M89" i="210"/>
  <c r="L89" i="210"/>
  <c r="K89" i="210"/>
  <c r="J89" i="210"/>
  <c r="N88" i="210"/>
  <c r="M88" i="210"/>
  <c r="L88" i="210"/>
  <c r="K88" i="210"/>
  <c r="J88" i="210"/>
  <c r="N87" i="210"/>
  <c r="M87" i="210"/>
  <c r="L87" i="210"/>
  <c r="K87" i="210"/>
  <c r="J87" i="210"/>
  <c r="N86" i="210"/>
  <c r="M86" i="210"/>
  <c r="L86" i="210"/>
  <c r="K86" i="210"/>
  <c r="J86" i="210"/>
  <c r="N85" i="210"/>
  <c r="M85" i="210"/>
  <c r="L85" i="210"/>
  <c r="K85" i="210"/>
  <c r="J85" i="210"/>
  <c r="N84" i="210"/>
  <c r="M84" i="210"/>
  <c r="L84" i="210"/>
  <c r="K84" i="210"/>
  <c r="J84" i="210"/>
  <c r="N83" i="210"/>
  <c r="M83" i="210"/>
  <c r="L83" i="210"/>
  <c r="K83" i="210"/>
  <c r="J83" i="210"/>
  <c r="N82" i="210"/>
  <c r="M82" i="210"/>
  <c r="L82" i="210"/>
  <c r="K82" i="210"/>
  <c r="J82" i="210"/>
  <c r="N81" i="210"/>
  <c r="M81" i="210"/>
  <c r="L81" i="210"/>
  <c r="K81" i="210"/>
  <c r="J81" i="210"/>
  <c r="N80" i="210"/>
  <c r="M80" i="210"/>
  <c r="L80" i="210"/>
  <c r="K80" i="210"/>
  <c r="J80" i="210"/>
  <c r="N79" i="210"/>
  <c r="M79" i="210"/>
  <c r="L79" i="210"/>
  <c r="K79" i="210"/>
  <c r="J79" i="210"/>
  <c r="N78" i="210"/>
  <c r="M78" i="210"/>
  <c r="L78" i="210"/>
  <c r="K78" i="210"/>
  <c r="J78" i="210"/>
  <c r="N77" i="210"/>
  <c r="M77" i="210"/>
  <c r="L77" i="210"/>
  <c r="K77" i="210"/>
  <c r="J77" i="210"/>
  <c r="N76" i="210"/>
  <c r="M76" i="210"/>
  <c r="L76" i="210"/>
  <c r="K76" i="210"/>
  <c r="J76" i="210"/>
  <c r="N75" i="210"/>
  <c r="M75" i="210"/>
  <c r="L75" i="210"/>
  <c r="K75" i="210"/>
  <c r="J75" i="210"/>
  <c r="N74" i="210"/>
  <c r="M74" i="210"/>
  <c r="L74" i="210"/>
  <c r="K74" i="210"/>
  <c r="J74" i="210"/>
  <c r="N73" i="210"/>
  <c r="M73" i="210"/>
  <c r="L73" i="210"/>
  <c r="K73" i="210"/>
  <c r="J73" i="210"/>
  <c r="N72" i="210"/>
  <c r="M72" i="210"/>
  <c r="L72" i="210"/>
  <c r="K72" i="210"/>
  <c r="J72" i="210"/>
  <c r="N71" i="210"/>
  <c r="M71" i="210"/>
  <c r="L71" i="210"/>
  <c r="K71" i="210"/>
  <c r="J71" i="210"/>
  <c r="N70" i="210"/>
  <c r="M70" i="210"/>
  <c r="L70" i="210"/>
  <c r="K70" i="210"/>
  <c r="J70" i="210"/>
  <c r="N69" i="210"/>
  <c r="M69" i="210"/>
  <c r="L69" i="210"/>
  <c r="K69" i="210"/>
  <c r="J69" i="210"/>
  <c r="N68" i="210"/>
  <c r="M68" i="210"/>
  <c r="L68" i="210"/>
  <c r="K68" i="210"/>
  <c r="J68" i="210"/>
  <c r="N67" i="210"/>
  <c r="M67" i="210"/>
  <c r="L67" i="210"/>
  <c r="K67" i="210"/>
  <c r="J67" i="210"/>
  <c r="N66" i="210"/>
  <c r="M66" i="210"/>
  <c r="L66" i="210"/>
  <c r="K66" i="210"/>
  <c r="J66" i="210"/>
  <c r="N65" i="210"/>
  <c r="M65" i="210"/>
  <c r="L65" i="210"/>
  <c r="K65" i="210"/>
  <c r="J65" i="210"/>
  <c r="N64" i="210"/>
  <c r="M64" i="210"/>
  <c r="L64" i="210"/>
  <c r="K64" i="210"/>
  <c r="J64" i="210"/>
  <c r="N63" i="210"/>
  <c r="M63" i="210"/>
  <c r="L63" i="210"/>
  <c r="K63" i="210"/>
  <c r="J63" i="210"/>
  <c r="N62" i="210"/>
  <c r="M62" i="210"/>
  <c r="L62" i="210"/>
  <c r="K62" i="210"/>
  <c r="J62" i="210"/>
  <c r="N61" i="210"/>
  <c r="M61" i="210"/>
  <c r="L61" i="210"/>
  <c r="K61" i="210"/>
  <c r="J61" i="210"/>
  <c r="N60" i="210"/>
  <c r="M60" i="210"/>
  <c r="L60" i="210"/>
  <c r="K60" i="210"/>
  <c r="J60" i="210"/>
  <c r="N59" i="210"/>
  <c r="M59" i="210"/>
  <c r="L59" i="210"/>
  <c r="K59" i="210"/>
  <c r="J59" i="210"/>
  <c r="N58" i="210"/>
  <c r="M58" i="210"/>
  <c r="L58" i="210"/>
  <c r="K58" i="210"/>
  <c r="J58" i="210"/>
  <c r="N57" i="210"/>
  <c r="M57" i="210"/>
  <c r="L57" i="210"/>
  <c r="K57" i="210"/>
  <c r="J57" i="210"/>
  <c r="N56" i="210"/>
  <c r="M56" i="210"/>
  <c r="L56" i="210"/>
  <c r="K56" i="210"/>
  <c r="J56" i="210"/>
  <c r="N55" i="210"/>
  <c r="M55" i="210"/>
  <c r="L55" i="210"/>
  <c r="K55" i="210"/>
  <c r="J55" i="210"/>
  <c r="N42" i="210"/>
  <c r="M42" i="210"/>
  <c r="L42" i="210"/>
  <c r="K42" i="210"/>
  <c r="J42" i="210"/>
  <c r="N41" i="210"/>
  <c r="M41" i="210"/>
  <c r="L41" i="210"/>
  <c r="K41" i="210"/>
  <c r="J41" i="210"/>
  <c r="N40" i="210"/>
  <c r="M40" i="210"/>
  <c r="L40" i="210"/>
  <c r="K40" i="210"/>
  <c r="J40" i="210"/>
  <c r="N39" i="210"/>
  <c r="M39" i="210"/>
  <c r="L39" i="210"/>
  <c r="K39" i="210"/>
  <c r="J39" i="210"/>
  <c r="N38" i="210"/>
  <c r="M38" i="210"/>
  <c r="L38" i="210"/>
  <c r="K38" i="210"/>
  <c r="J38" i="210"/>
  <c r="N37" i="210"/>
  <c r="M37" i="210"/>
  <c r="L37" i="210"/>
  <c r="K37" i="210"/>
  <c r="J37" i="210"/>
  <c r="N36" i="210"/>
  <c r="M36" i="210"/>
  <c r="L36" i="210"/>
  <c r="K36" i="210"/>
  <c r="J36" i="210"/>
  <c r="N35" i="210"/>
  <c r="M35" i="210"/>
  <c r="L35" i="210"/>
  <c r="K35" i="210"/>
  <c r="J35" i="210"/>
  <c r="N34" i="210"/>
  <c r="M34" i="210"/>
  <c r="L34" i="210"/>
  <c r="K34" i="210"/>
  <c r="J34" i="210"/>
  <c r="N33" i="210"/>
  <c r="M33" i="210"/>
  <c r="L33" i="210"/>
  <c r="K33" i="210"/>
  <c r="J33" i="210"/>
  <c r="N32" i="210"/>
  <c r="M32" i="210"/>
  <c r="L32" i="210"/>
  <c r="K32" i="210"/>
  <c r="J32" i="210"/>
  <c r="N31" i="210"/>
  <c r="M31" i="210"/>
  <c r="L31" i="210"/>
  <c r="K31" i="210"/>
  <c r="J31" i="210"/>
  <c r="N30" i="210"/>
  <c r="M30" i="210"/>
  <c r="L30" i="210"/>
  <c r="K30" i="210"/>
  <c r="J30" i="210"/>
  <c r="N29" i="210"/>
  <c r="M29" i="210"/>
  <c r="L29" i="210"/>
  <c r="K29" i="210"/>
  <c r="J29" i="210"/>
  <c r="N28" i="210"/>
  <c r="M28" i="210"/>
  <c r="L28" i="210"/>
  <c r="K28" i="210"/>
  <c r="J28" i="210"/>
  <c r="N27" i="210"/>
  <c r="M27" i="210"/>
  <c r="L27" i="210"/>
  <c r="K27" i="210"/>
  <c r="J27" i="210"/>
  <c r="N26" i="210"/>
  <c r="M26" i="210"/>
  <c r="L26" i="210"/>
  <c r="K26" i="210"/>
  <c r="J26" i="210"/>
  <c r="N25" i="210"/>
  <c r="M25" i="210"/>
  <c r="L25" i="210"/>
  <c r="K25" i="210"/>
  <c r="J25" i="210"/>
  <c r="N24" i="210"/>
  <c r="M24" i="210"/>
  <c r="L24" i="210"/>
  <c r="K24" i="210"/>
  <c r="J24" i="210"/>
  <c r="N23" i="210"/>
  <c r="M23" i="210"/>
  <c r="L23" i="210"/>
  <c r="K23" i="210"/>
  <c r="J23" i="210"/>
  <c r="N22" i="210"/>
  <c r="M22" i="210"/>
  <c r="L22" i="210"/>
  <c r="K22" i="210"/>
  <c r="J22" i="210"/>
  <c r="N21" i="210"/>
  <c r="M21" i="210"/>
  <c r="L21" i="210"/>
  <c r="K21" i="210"/>
  <c r="J21" i="210"/>
  <c r="N20" i="210"/>
  <c r="M20" i="210"/>
  <c r="L20" i="210"/>
  <c r="K20" i="210"/>
  <c r="J20" i="210"/>
  <c r="N19" i="210"/>
  <c r="M19" i="210"/>
  <c r="L19" i="210"/>
  <c r="K19" i="210"/>
  <c r="J19" i="210"/>
  <c r="N18" i="210"/>
  <c r="M18" i="210"/>
  <c r="L18" i="210"/>
  <c r="K18" i="210"/>
  <c r="J18" i="210"/>
  <c r="N17" i="210"/>
  <c r="M17" i="210"/>
  <c r="L17" i="210"/>
  <c r="K17" i="210"/>
  <c r="J17" i="210"/>
  <c r="N16" i="210"/>
  <c r="M16" i="210"/>
  <c r="L16" i="210"/>
  <c r="K16" i="210"/>
  <c r="J16" i="210"/>
  <c r="N15" i="210"/>
  <c r="M15" i="210"/>
  <c r="L15" i="210"/>
  <c r="K15" i="210"/>
  <c r="J15" i="210"/>
  <c r="N14" i="210"/>
  <c r="M14" i="210"/>
  <c r="L14" i="210"/>
  <c r="K14" i="210"/>
  <c r="J14" i="210"/>
  <c r="N13" i="210"/>
  <c r="M13" i="210"/>
  <c r="L13" i="210"/>
  <c r="K13" i="210"/>
  <c r="J13" i="210"/>
  <c r="N12" i="210"/>
  <c r="M12" i="210"/>
  <c r="L12" i="210"/>
  <c r="K12" i="210"/>
  <c r="J12" i="210"/>
  <c r="N11" i="210"/>
  <c r="M11" i="210"/>
  <c r="L11" i="210"/>
  <c r="K11" i="210"/>
  <c r="J11" i="210"/>
  <c r="N206" i="209"/>
  <c r="M206" i="209"/>
  <c r="L206" i="209"/>
  <c r="K206" i="209"/>
  <c r="J206" i="209"/>
  <c r="N205" i="209"/>
  <c r="M205" i="209"/>
  <c r="L205" i="209"/>
  <c r="K205" i="209"/>
  <c r="J205" i="209"/>
  <c r="N202" i="209"/>
  <c r="M202" i="209"/>
  <c r="L202" i="209"/>
  <c r="K202" i="209"/>
  <c r="J202" i="209"/>
  <c r="N201" i="209"/>
  <c r="M201" i="209"/>
  <c r="L201" i="209"/>
  <c r="K201" i="209"/>
  <c r="J201" i="209"/>
  <c r="N200" i="209"/>
  <c r="M200" i="209"/>
  <c r="L200" i="209"/>
  <c r="K200" i="209"/>
  <c r="J200" i="209"/>
  <c r="N199" i="209"/>
  <c r="M199" i="209"/>
  <c r="L199" i="209"/>
  <c r="K199" i="209"/>
  <c r="J199" i="209"/>
  <c r="N198" i="209"/>
  <c r="M198" i="209"/>
  <c r="L198" i="209"/>
  <c r="K198" i="209"/>
  <c r="J198" i="209"/>
  <c r="N197" i="209"/>
  <c r="M197" i="209"/>
  <c r="L197" i="209"/>
  <c r="K197" i="209"/>
  <c r="J197" i="209"/>
  <c r="N196" i="209"/>
  <c r="M196" i="209"/>
  <c r="L196" i="209"/>
  <c r="K196" i="209"/>
  <c r="J196" i="209"/>
  <c r="N195" i="209"/>
  <c r="M195" i="209"/>
  <c r="L195" i="209"/>
  <c r="K195" i="209"/>
  <c r="J195" i="209"/>
  <c r="N194" i="209"/>
  <c r="M194" i="209"/>
  <c r="L194" i="209"/>
  <c r="K194" i="209"/>
  <c r="J194" i="209"/>
  <c r="N193" i="209"/>
  <c r="M193" i="209"/>
  <c r="L193" i="209"/>
  <c r="K193" i="209"/>
  <c r="J193" i="209"/>
  <c r="N192" i="209"/>
  <c r="M192" i="209"/>
  <c r="L192" i="209"/>
  <c r="K192" i="209"/>
  <c r="J192" i="209"/>
  <c r="N191" i="209"/>
  <c r="M191" i="209"/>
  <c r="L191" i="209"/>
  <c r="K191" i="209"/>
  <c r="J191" i="209"/>
  <c r="N190" i="209"/>
  <c r="M190" i="209"/>
  <c r="L190" i="209"/>
  <c r="K190" i="209"/>
  <c r="J190" i="209"/>
  <c r="N189" i="209"/>
  <c r="M189" i="209"/>
  <c r="L189" i="209"/>
  <c r="K189" i="209"/>
  <c r="J189" i="209"/>
  <c r="N188" i="209"/>
  <c r="M188" i="209"/>
  <c r="L188" i="209"/>
  <c r="K188" i="209"/>
  <c r="J188" i="209"/>
  <c r="N187" i="209"/>
  <c r="M187" i="209"/>
  <c r="L187" i="209"/>
  <c r="K187" i="209"/>
  <c r="J187" i="209"/>
  <c r="N186" i="209"/>
  <c r="M186" i="209"/>
  <c r="L186" i="209"/>
  <c r="K186" i="209"/>
  <c r="J186" i="209"/>
  <c r="N185" i="209"/>
  <c r="M185" i="209"/>
  <c r="L185" i="209"/>
  <c r="K185" i="209"/>
  <c r="J185" i="209"/>
  <c r="N184" i="209"/>
  <c r="M184" i="209"/>
  <c r="L184" i="209"/>
  <c r="K184" i="209"/>
  <c r="J184" i="209"/>
  <c r="N183" i="209"/>
  <c r="M183" i="209"/>
  <c r="L183" i="209"/>
  <c r="K183" i="209"/>
  <c r="J183" i="209"/>
  <c r="N182" i="209"/>
  <c r="M182" i="209"/>
  <c r="L182" i="209"/>
  <c r="K182" i="209"/>
  <c r="J182" i="209"/>
  <c r="N181" i="209"/>
  <c r="M181" i="209"/>
  <c r="L181" i="209"/>
  <c r="K181" i="209"/>
  <c r="J181" i="209"/>
  <c r="N180" i="209"/>
  <c r="M180" i="209"/>
  <c r="L180" i="209"/>
  <c r="K180" i="209"/>
  <c r="J180" i="209"/>
  <c r="N179" i="209"/>
  <c r="M179" i="209"/>
  <c r="L179" i="209"/>
  <c r="K179" i="209"/>
  <c r="J179" i="209"/>
  <c r="N178" i="209"/>
  <c r="M178" i="209"/>
  <c r="L178" i="209"/>
  <c r="K178" i="209"/>
  <c r="J178" i="209"/>
  <c r="N177" i="209"/>
  <c r="M177" i="209"/>
  <c r="L177" i="209"/>
  <c r="K177" i="209"/>
  <c r="J177" i="209"/>
  <c r="N176" i="209"/>
  <c r="M176" i="209"/>
  <c r="L176" i="209"/>
  <c r="K176" i="209"/>
  <c r="J176" i="209"/>
  <c r="N175" i="209"/>
  <c r="M175" i="209"/>
  <c r="L175" i="209"/>
  <c r="K175" i="209"/>
  <c r="J175" i="209"/>
  <c r="N174" i="209"/>
  <c r="M174" i="209"/>
  <c r="L174" i="209"/>
  <c r="K174" i="209"/>
  <c r="J174" i="209"/>
  <c r="N173" i="209"/>
  <c r="M173" i="209"/>
  <c r="L173" i="209"/>
  <c r="K173" i="209"/>
  <c r="J173" i="209"/>
  <c r="N172" i="209"/>
  <c r="M172" i="209"/>
  <c r="L172" i="209"/>
  <c r="K172" i="209"/>
  <c r="J172" i="209"/>
  <c r="N171" i="209"/>
  <c r="M171" i="209"/>
  <c r="L171" i="209"/>
  <c r="K171" i="209"/>
  <c r="J171" i="209"/>
  <c r="N170" i="209"/>
  <c r="M170" i="209"/>
  <c r="L170" i="209"/>
  <c r="K170" i="209"/>
  <c r="J170" i="209"/>
  <c r="N169" i="209"/>
  <c r="M169" i="209"/>
  <c r="L169" i="209"/>
  <c r="K169" i="209"/>
  <c r="J169" i="209"/>
  <c r="N168" i="209"/>
  <c r="M168" i="209"/>
  <c r="L168" i="209"/>
  <c r="K168" i="209"/>
  <c r="J168" i="209"/>
  <c r="N167" i="209"/>
  <c r="M167" i="209"/>
  <c r="L167" i="209"/>
  <c r="K167" i="209"/>
  <c r="J167" i="209"/>
  <c r="N166" i="209"/>
  <c r="M166" i="209"/>
  <c r="L166" i="209"/>
  <c r="K166" i="209"/>
  <c r="J166" i="209"/>
  <c r="N165" i="209"/>
  <c r="M165" i="209"/>
  <c r="L165" i="209"/>
  <c r="K165" i="209"/>
  <c r="J165" i="209"/>
  <c r="N164" i="209"/>
  <c r="M164" i="209"/>
  <c r="L164" i="209"/>
  <c r="K164" i="209"/>
  <c r="J164" i="209"/>
  <c r="N163" i="209"/>
  <c r="M163" i="209"/>
  <c r="L163" i="209"/>
  <c r="K163" i="209"/>
  <c r="J163" i="209"/>
  <c r="N162" i="209"/>
  <c r="M162" i="209"/>
  <c r="L162" i="209"/>
  <c r="K162" i="209"/>
  <c r="J162" i="209"/>
  <c r="N161" i="209"/>
  <c r="M161" i="209"/>
  <c r="L161" i="209"/>
  <c r="K161" i="209"/>
  <c r="J161" i="209"/>
  <c r="N160" i="209"/>
  <c r="M160" i="209"/>
  <c r="L160" i="209"/>
  <c r="K160" i="209"/>
  <c r="J160" i="209"/>
  <c r="N159" i="209"/>
  <c r="M159" i="209"/>
  <c r="L159" i="209"/>
  <c r="K159" i="209"/>
  <c r="J159" i="209"/>
  <c r="N158" i="209"/>
  <c r="M158" i="209"/>
  <c r="L158" i="209"/>
  <c r="K158" i="209"/>
  <c r="J158" i="209"/>
  <c r="N157" i="209"/>
  <c r="M157" i="209"/>
  <c r="L157" i="209"/>
  <c r="K157" i="209"/>
  <c r="J157" i="209"/>
  <c r="N156" i="209"/>
  <c r="M156" i="209"/>
  <c r="L156" i="209"/>
  <c r="K156" i="209"/>
  <c r="J156" i="209"/>
  <c r="N155" i="209"/>
  <c r="M155" i="209"/>
  <c r="L155" i="209"/>
  <c r="K155" i="209"/>
  <c r="J155" i="209"/>
  <c r="N154" i="209"/>
  <c r="M154" i="209"/>
  <c r="L154" i="209"/>
  <c r="K154" i="209"/>
  <c r="J154" i="209"/>
  <c r="N153" i="209"/>
  <c r="M153" i="209"/>
  <c r="L153" i="209"/>
  <c r="K153" i="209"/>
  <c r="J153" i="209"/>
  <c r="N152" i="209"/>
  <c r="M152" i="209"/>
  <c r="L152" i="209"/>
  <c r="K152" i="209"/>
  <c r="J152" i="209"/>
  <c r="N151" i="209"/>
  <c r="M151" i="209"/>
  <c r="L151" i="209"/>
  <c r="K151" i="209"/>
  <c r="J151" i="209"/>
  <c r="N150" i="209"/>
  <c r="M150" i="209"/>
  <c r="L150" i="209"/>
  <c r="K150" i="209"/>
  <c r="J150" i="209"/>
  <c r="N149" i="209"/>
  <c r="M149" i="209"/>
  <c r="L149" i="209"/>
  <c r="K149" i="209"/>
  <c r="J149" i="209"/>
  <c r="N148" i="209"/>
  <c r="M148" i="209"/>
  <c r="L148" i="209"/>
  <c r="K148" i="209"/>
  <c r="J148" i="209"/>
  <c r="N147" i="209"/>
  <c r="M147" i="209"/>
  <c r="L147" i="209"/>
  <c r="K147" i="209"/>
  <c r="J147" i="209"/>
  <c r="N146" i="209"/>
  <c r="M146" i="209"/>
  <c r="L146" i="209"/>
  <c r="K146" i="209"/>
  <c r="J146" i="209"/>
  <c r="N145" i="209"/>
  <c r="M145" i="209"/>
  <c r="L145" i="209"/>
  <c r="K145" i="209"/>
  <c r="J145" i="209"/>
  <c r="N144" i="209"/>
  <c r="M144" i="209"/>
  <c r="L144" i="209"/>
  <c r="K144" i="209"/>
  <c r="J144" i="209"/>
  <c r="N143" i="209"/>
  <c r="M143" i="209"/>
  <c r="L143" i="209"/>
  <c r="K143" i="209"/>
  <c r="J143" i="209"/>
  <c r="N142" i="209"/>
  <c r="M142" i="209"/>
  <c r="L142" i="209"/>
  <c r="K142" i="209"/>
  <c r="J142" i="209"/>
  <c r="N141" i="209"/>
  <c r="M141" i="209"/>
  <c r="L141" i="209"/>
  <c r="K141" i="209"/>
  <c r="J141" i="209"/>
  <c r="N140" i="209"/>
  <c r="M140" i="209"/>
  <c r="L140" i="209"/>
  <c r="K140" i="209"/>
  <c r="J140" i="209"/>
  <c r="N139" i="209"/>
  <c r="M139" i="209"/>
  <c r="L139" i="209"/>
  <c r="K139" i="209"/>
  <c r="J139" i="209"/>
  <c r="N138" i="209"/>
  <c r="M138" i="209"/>
  <c r="L138" i="209"/>
  <c r="K138" i="209"/>
  <c r="J138" i="209"/>
  <c r="N137" i="209"/>
  <c r="M137" i="209"/>
  <c r="L137" i="209"/>
  <c r="K137" i="209"/>
  <c r="J137" i="209"/>
  <c r="N136" i="209"/>
  <c r="M136" i="209"/>
  <c r="L136" i="209"/>
  <c r="K136" i="209"/>
  <c r="J136" i="209"/>
  <c r="N135" i="209"/>
  <c r="M135" i="209"/>
  <c r="L135" i="209"/>
  <c r="K135" i="209"/>
  <c r="J135" i="209"/>
  <c r="N134" i="209"/>
  <c r="M134" i="209"/>
  <c r="L134" i="209"/>
  <c r="K134" i="209"/>
  <c r="J134" i="209"/>
  <c r="N133" i="209"/>
  <c r="M133" i="209"/>
  <c r="L133" i="209"/>
  <c r="K133" i="209"/>
  <c r="J133" i="209"/>
  <c r="N132" i="209"/>
  <c r="M132" i="209"/>
  <c r="L132" i="209"/>
  <c r="K132" i="209"/>
  <c r="J132" i="209"/>
  <c r="N131" i="209"/>
  <c r="M131" i="209"/>
  <c r="L131" i="209"/>
  <c r="K131" i="209"/>
  <c r="J131" i="209"/>
  <c r="N130" i="209"/>
  <c r="M130" i="209"/>
  <c r="L130" i="209"/>
  <c r="K130" i="209"/>
  <c r="J130" i="209"/>
  <c r="N129" i="209"/>
  <c r="M129" i="209"/>
  <c r="L129" i="209"/>
  <c r="K129" i="209"/>
  <c r="J129" i="209"/>
  <c r="N43" i="209"/>
  <c r="M43" i="209"/>
  <c r="L43" i="209"/>
  <c r="K43" i="209"/>
  <c r="J43" i="209"/>
  <c r="N42" i="209"/>
  <c r="M42" i="209"/>
  <c r="L42" i="209"/>
  <c r="K42" i="209"/>
  <c r="J42" i="209"/>
  <c r="N41" i="209"/>
  <c r="M41" i="209"/>
  <c r="L41" i="209"/>
  <c r="K41" i="209"/>
  <c r="J41" i="209"/>
  <c r="N40" i="209"/>
  <c r="M40" i="209"/>
  <c r="L40" i="209"/>
  <c r="K40" i="209"/>
  <c r="J40" i="209"/>
  <c r="N39" i="209"/>
  <c r="M39" i="209"/>
  <c r="L39" i="209"/>
  <c r="K39" i="209"/>
  <c r="J39" i="209"/>
  <c r="N38" i="209"/>
  <c r="M38" i="209"/>
  <c r="L38" i="209"/>
  <c r="K38" i="209"/>
  <c r="J38" i="209"/>
  <c r="N37" i="209"/>
  <c r="M37" i="209"/>
  <c r="L37" i="209"/>
  <c r="K37" i="209"/>
  <c r="J37" i="209"/>
  <c r="N36" i="209"/>
  <c r="M36" i="209"/>
  <c r="L36" i="209"/>
  <c r="K36" i="209"/>
  <c r="J36" i="209"/>
  <c r="N35" i="209"/>
  <c r="M35" i="209"/>
  <c r="L35" i="209"/>
  <c r="K35" i="209"/>
  <c r="J35" i="209"/>
  <c r="N34" i="209"/>
  <c r="M34" i="209"/>
  <c r="L34" i="209"/>
  <c r="K34" i="209"/>
  <c r="J34" i="209"/>
  <c r="N33" i="209"/>
  <c r="M33" i="209"/>
  <c r="L33" i="209"/>
  <c r="K33" i="209"/>
  <c r="J33" i="209"/>
  <c r="N32" i="209"/>
  <c r="M32" i="209"/>
  <c r="L32" i="209"/>
  <c r="K32" i="209"/>
  <c r="J32" i="209"/>
  <c r="N31" i="209"/>
  <c r="M31" i="209"/>
  <c r="L31" i="209"/>
  <c r="K31" i="209"/>
  <c r="J31" i="209"/>
  <c r="N30" i="209"/>
  <c r="M30" i="209"/>
  <c r="L30" i="209"/>
  <c r="K30" i="209"/>
  <c r="J30" i="209"/>
  <c r="N29" i="209"/>
  <c r="M29" i="209"/>
  <c r="L29" i="209"/>
  <c r="K29" i="209"/>
  <c r="J29" i="209"/>
  <c r="N28" i="209"/>
  <c r="M28" i="209"/>
  <c r="L28" i="209"/>
  <c r="K28" i="209"/>
  <c r="J28" i="209"/>
  <c r="N27" i="209"/>
  <c r="M27" i="209"/>
  <c r="L27" i="209"/>
  <c r="K27" i="209"/>
  <c r="J27" i="209"/>
  <c r="N26" i="209"/>
  <c r="M26" i="209"/>
  <c r="L26" i="209"/>
  <c r="K26" i="209"/>
  <c r="J26" i="209"/>
  <c r="N25" i="209"/>
  <c r="M25" i="209"/>
  <c r="L25" i="209"/>
  <c r="K25" i="209"/>
  <c r="J25" i="209"/>
  <c r="N24" i="209"/>
  <c r="M24" i="209"/>
  <c r="L24" i="209"/>
  <c r="K24" i="209"/>
  <c r="J24" i="209"/>
  <c r="N23" i="209"/>
  <c r="M23" i="209"/>
  <c r="L23" i="209"/>
  <c r="K23" i="209"/>
  <c r="J23" i="209"/>
  <c r="N22" i="209"/>
  <c r="M22" i="209"/>
  <c r="L22" i="209"/>
  <c r="K22" i="209"/>
  <c r="J22" i="209"/>
  <c r="N21" i="209"/>
  <c r="M21" i="209"/>
  <c r="L21" i="209"/>
  <c r="K21" i="209"/>
  <c r="J21" i="209"/>
  <c r="N20" i="209"/>
  <c r="M20" i="209"/>
  <c r="L20" i="209"/>
  <c r="K20" i="209"/>
  <c r="J20" i="209"/>
  <c r="N19" i="209"/>
  <c r="M19" i="209"/>
  <c r="L19" i="209"/>
  <c r="K19" i="209"/>
  <c r="J19" i="209"/>
  <c r="N18" i="209"/>
  <c r="M18" i="209"/>
  <c r="L18" i="209"/>
  <c r="K18" i="209"/>
  <c r="J18" i="209"/>
  <c r="N17" i="209"/>
  <c r="M17" i="209"/>
  <c r="L17" i="209"/>
  <c r="K17" i="209"/>
  <c r="J17" i="209"/>
  <c r="N16" i="209"/>
  <c r="M16" i="209"/>
  <c r="L16" i="209"/>
  <c r="K16" i="209"/>
  <c r="J16" i="209"/>
  <c r="N15" i="209"/>
  <c r="M15" i="209"/>
  <c r="L15" i="209"/>
  <c r="K15" i="209"/>
  <c r="J15" i="209"/>
  <c r="N14" i="209"/>
  <c r="M14" i="209"/>
  <c r="L14" i="209"/>
  <c r="K14" i="209"/>
  <c r="J14" i="209"/>
  <c r="N13" i="209"/>
  <c r="M13" i="209"/>
  <c r="K13" i="209"/>
  <c r="J13" i="209"/>
  <c r="N100" i="209" l="1"/>
  <c r="M100" i="209"/>
  <c r="L100" i="209"/>
  <c r="K100" i="209"/>
  <c r="J100" i="209"/>
  <c r="N102" i="209"/>
  <c r="M102" i="209"/>
  <c r="L102" i="209"/>
  <c r="K102" i="209"/>
  <c r="J102" i="209"/>
  <c r="N101" i="209"/>
  <c r="M101" i="209"/>
  <c r="L101" i="209"/>
  <c r="K101" i="209"/>
  <c r="J101" i="209"/>
  <c r="N99" i="209"/>
  <c r="M99" i="209"/>
  <c r="L99" i="209"/>
  <c r="K99" i="209"/>
  <c r="J99" i="209"/>
  <c r="N98" i="209"/>
  <c r="M98" i="209"/>
  <c r="L98" i="209"/>
  <c r="K98" i="209"/>
  <c r="J98" i="209"/>
  <c r="N97" i="209"/>
  <c r="M97" i="209"/>
  <c r="L97" i="209"/>
  <c r="K97" i="209"/>
  <c r="J97" i="209"/>
  <c r="N90" i="209"/>
  <c r="M90" i="209"/>
  <c r="L90" i="209"/>
  <c r="K90" i="209"/>
  <c r="J90" i="209"/>
  <c r="N79" i="209"/>
  <c r="M79" i="209"/>
  <c r="L79" i="209"/>
  <c r="K79" i="209"/>
  <c r="J79" i="209"/>
  <c r="N72" i="209"/>
  <c r="M72" i="209"/>
  <c r="L72" i="209"/>
  <c r="K72" i="209"/>
  <c r="J72" i="209"/>
  <c r="J66" i="209"/>
  <c r="N65" i="209"/>
  <c r="M65" i="209"/>
  <c r="L65" i="209"/>
  <c r="K65" i="209"/>
  <c r="J65" i="209"/>
  <c r="N64" i="209"/>
  <c r="M64" i="209"/>
  <c r="L64" i="209"/>
  <c r="K64" i="209"/>
  <c r="J64" i="209"/>
  <c r="L13" i="209"/>
  <c r="I52" i="186" l="1"/>
  <c r="I51" i="186"/>
  <c r="I50" i="186"/>
  <c r="E66" i="203" l="1"/>
  <c r="E52" i="221" l="1"/>
  <c r="E49" i="221"/>
  <c r="D11" i="186" l="1"/>
  <c r="C11" i="206" l="1"/>
  <c r="C23" i="206"/>
  <c r="D23" i="205" l="1"/>
  <c r="D11" i="205"/>
  <c r="C11" i="188"/>
  <c r="C23" i="188"/>
  <c r="D23" i="186"/>
  <c r="E41" i="78" l="1"/>
  <c r="E37" i="78"/>
  <c r="E35" i="78"/>
  <c r="E33" i="78"/>
  <c r="E20" i="78"/>
  <c r="E19" i="78"/>
  <c r="E16" i="78"/>
  <c r="E57" i="221"/>
  <c r="E54" i="221"/>
  <c r="E53" i="221"/>
  <c r="E48" i="221"/>
  <c r="E34" i="221"/>
  <c r="E27" i="221"/>
  <c r="E22" i="221"/>
  <c r="E21" i="221"/>
  <c r="E20" i="221"/>
  <c r="E19" i="221"/>
  <c r="E16" i="221"/>
  <c r="K44" i="78" l="1"/>
  <c r="K43" i="78"/>
  <c r="K42" i="78"/>
  <c r="K41" i="78"/>
  <c r="K40" i="78"/>
  <c r="K38" i="78"/>
  <c r="K37" i="78"/>
  <c r="K34" i="78"/>
  <c r="M39" i="78"/>
  <c r="M36" i="78"/>
  <c r="M35" i="78"/>
  <c r="M33" i="78"/>
  <c r="A46" i="78"/>
  <c r="A32" i="78"/>
  <c r="I26" i="78"/>
  <c r="I25" i="78"/>
  <c r="I24" i="78"/>
  <c r="A28" i="78"/>
  <c r="G21" i="78"/>
  <c r="G20" i="78"/>
  <c r="G19" i="78"/>
  <c r="A23" i="78"/>
  <c r="A18" i="78"/>
  <c r="K58" i="221"/>
  <c r="K57" i="221"/>
  <c r="K56" i="221"/>
  <c r="K55" i="221"/>
  <c r="K54" i="221"/>
  <c r="K53" i="221"/>
  <c r="K48" i="221"/>
  <c r="K44" i="221"/>
  <c r="K43" i="221"/>
  <c r="K42" i="221"/>
  <c r="K41" i="221"/>
  <c r="K40" i="221"/>
  <c r="K39" i="221"/>
  <c r="K38" i="221"/>
  <c r="K37" i="221"/>
  <c r="K36" i="221"/>
  <c r="K35" i="221"/>
  <c r="M52" i="221"/>
  <c r="M51" i="221"/>
  <c r="M50" i="221"/>
  <c r="M49" i="221"/>
  <c r="M47" i="221"/>
  <c r="M46" i="221"/>
  <c r="M45" i="221"/>
  <c r="M34" i="221"/>
  <c r="A45" i="221"/>
  <c r="A46" i="221" s="1"/>
  <c r="A47" i="221" s="1"/>
  <c r="A48" i="221" s="1"/>
  <c r="A49" i="221" s="1"/>
  <c r="A50" i="221" s="1"/>
  <c r="A51" i="221" s="1"/>
  <c r="A52" i="221" s="1"/>
  <c r="A53" i="221" s="1"/>
  <c r="A54" i="221" s="1"/>
  <c r="A55" i="221" s="1"/>
  <c r="A56" i="221" s="1"/>
  <c r="A57" i="221" s="1"/>
  <c r="A58" i="221" s="1"/>
  <c r="A44" i="221"/>
  <c r="A33" i="221"/>
  <c r="G22" i="221"/>
  <c r="G21" i="221"/>
  <c r="A29" i="221"/>
  <c r="A24" i="221"/>
  <c r="N95" i="139" l="1"/>
  <c r="M95" i="139"/>
  <c r="L95" i="139"/>
  <c r="K95" i="139"/>
  <c r="N92" i="139"/>
  <c r="M92" i="139"/>
  <c r="L92" i="139"/>
  <c r="K92" i="139"/>
  <c r="M91" i="139"/>
  <c r="L91" i="139"/>
  <c r="K91" i="139"/>
  <c r="J91" i="139"/>
  <c r="M90" i="139"/>
  <c r="L90" i="139"/>
  <c r="K90" i="139"/>
  <c r="J90" i="139"/>
  <c r="M89" i="139"/>
  <c r="L89" i="139"/>
  <c r="K89" i="139"/>
  <c r="J89" i="139"/>
  <c r="N88" i="139"/>
  <c r="M88" i="139"/>
  <c r="K88" i="139"/>
  <c r="J88" i="139"/>
  <c r="N87" i="139"/>
  <c r="M87" i="139"/>
  <c r="L87" i="139"/>
  <c r="K87" i="139"/>
  <c r="N86" i="139"/>
  <c r="M86" i="139"/>
  <c r="L86" i="139"/>
  <c r="K86" i="139"/>
  <c r="N85" i="139"/>
  <c r="M85" i="139"/>
  <c r="L85" i="139"/>
  <c r="K85" i="139"/>
  <c r="N84" i="139"/>
  <c r="M84" i="139"/>
  <c r="L84" i="139"/>
  <c r="K84" i="139"/>
  <c r="N83" i="139"/>
  <c r="M83" i="139"/>
  <c r="L83" i="139"/>
  <c r="K83" i="139"/>
  <c r="N82" i="139"/>
  <c r="M82" i="139"/>
  <c r="L82" i="139"/>
  <c r="K82" i="139"/>
  <c r="N81" i="139"/>
  <c r="M81" i="139"/>
  <c r="L81" i="139"/>
  <c r="K81" i="139"/>
  <c r="J81" i="139"/>
  <c r="N80" i="139"/>
  <c r="M80" i="139"/>
  <c r="L80" i="139"/>
  <c r="K80" i="139"/>
  <c r="N79" i="139"/>
  <c r="M79" i="139"/>
  <c r="L79" i="139"/>
  <c r="K79" i="139"/>
  <c r="N78" i="139"/>
  <c r="M78" i="139"/>
  <c r="L78" i="139"/>
  <c r="K78" i="139"/>
  <c r="N77" i="139"/>
  <c r="M77" i="139"/>
  <c r="L77" i="139"/>
  <c r="K77" i="139"/>
  <c r="J77" i="139"/>
  <c r="N76" i="139"/>
  <c r="M76" i="139"/>
  <c r="L76" i="139"/>
  <c r="K76" i="139"/>
  <c r="N75" i="139"/>
  <c r="M75" i="139"/>
  <c r="L75" i="139"/>
  <c r="K75" i="139"/>
  <c r="N74" i="139"/>
  <c r="M74" i="139"/>
  <c r="L74" i="139"/>
  <c r="K74" i="139"/>
  <c r="N73" i="139"/>
  <c r="M73" i="139"/>
  <c r="L73" i="139"/>
  <c r="K73" i="139"/>
  <c r="N72" i="139"/>
  <c r="L72" i="139"/>
  <c r="K72" i="139"/>
  <c r="J72" i="139"/>
  <c r="N71" i="139"/>
  <c r="M71" i="139"/>
  <c r="K71" i="139"/>
  <c r="J71" i="139"/>
  <c r="N70" i="139"/>
  <c r="M70" i="139"/>
  <c r="L70" i="139"/>
  <c r="K70" i="139"/>
  <c r="N69" i="139"/>
  <c r="M69" i="139"/>
  <c r="L69" i="139"/>
  <c r="K69" i="139"/>
  <c r="N68" i="139"/>
  <c r="M68" i="139"/>
  <c r="K68" i="139"/>
  <c r="J68" i="139"/>
  <c r="N67" i="139"/>
  <c r="M67" i="139"/>
  <c r="L67" i="139"/>
  <c r="K67" i="139"/>
  <c r="N66" i="139"/>
  <c r="M66" i="139"/>
  <c r="K66" i="139"/>
  <c r="J66" i="139"/>
  <c r="N65" i="139"/>
  <c r="M65" i="139"/>
  <c r="L65" i="139"/>
  <c r="K65" i="139"/>
  <c r="J65" i="139"/>
  <c r="N64" i="139"/>
  <c r="M64" i="139"/>
  <c r="L64" i="139"/>
  <c r="K64" i="139"/>
  <c r="M63" i="139"/>
  <c r="L63" i="139"/>
  <c r="K63" i="139"/>
  <c r="J63" i="139"/>
  <c r="N58" i="139"/>
  <c r="M58" i="139"/>
  <c r="L58" i="139"/>
  <c r="K58" i="139"/>
  <c r="K29" i="139"/>
  <c r="L29" i="139"/>
  <c r="M29" i="139"/>
  <c r="N29" i="139"/>
  <c r="N113" i="139"/>
  <c r="M113" i="139"/>
  <c r="L113" i="139"/>
  <c r="K113" i="139"/>
  <c r="N112" i="139"/>
  <c r="M112" i="139"/>
  <c r="L112" i="139"/>
  <c r="K112" i="139"/>
  <c r="N135" i="139"/>
  <c r="M135" i="139"/>
  <c r="L135" i="139"/>
  <c r="K135" i="139"/>
  <c r="N134" i="139"/>
  <c r="M134" i="139"/>
  <c r="L134" i="139"/>
  <c r="K134" i="139"/>
  <c r="N147" i="139"/>
  <c r="M147" i="139"/>
  <c r="K147" i="139"/>
  <c r="J147" i="139"/>
  <c r="N152" i="139"/>
  <c r="M152" i="139"/>
  <c r="L152" i="139"/>
  <c r="K152" i="139"/>
  <c r="N151" i="139"/>
  <c r="M151" i="139"/>
  <c r="L151" i="139"/>
  <c r="K151" i="139"/>
  <c r="E17" i="219" l="1"/>
  <c r="E15" i="219"/>
  <c r="N180" i="210" l="1"/>
  <c r="M180" i="210"/>
  <c r="L180" i="210"/>
  <c r="K180" i="210"/>
  <c r="J180" i="210"/>
  <c r="N54" i="210"/>
  <c r="M54" i="210"/>
  <c r="L54" i="210"/>
  <c r="K54" i="210"/>
  <c r="J54" i="210"/>
  <c r="N150" i="90"/>
  <c r="M150" i="90"/>
  <c r="L150" i="90"/>
  <c r="K150" i="90"/>
  <c r="J150" i="90"/>
  <c r="N149" i="90"/>
  <c r="M149" i="90"/>
  <c r="L149" i="90"/>
  <c r="K149" i="90"/>
  <c r="J149" i="90"/>
  <c r="N154" i="90"/>
  <c r="M154" i="90"/>
  <c r="L154" i="90"/>
  <c r="K154" i="90"/>
  <c r="J154" i="90"/>
  <c r="N153" i="90"/>
  <c r="M153" i="90"/>
  <c r="L153" i="90"/>
  <c r="K153" i="90"/>
  <c r="J153" i="90"/>
  <c r="N152" i="90"/>
  <c r="M152" i="90"/>
  <c r="L152" i="90"/>
  <c r="K152" i="90"/>
  <c r="J152" i="90"/>
  <c r="N151" i="90"/>
  <c r="M151" i="90"/>
  <c r="L151" i="90"/>
  <c r="K151" i="90"/>
  <c r="J151" i="90"/>
  <c r="N148" i="90"/>
  <c r="M148" i="90"/>
  <c r="L148" i="90"/>
  <c r="K148" i="90"/>
  <c r="J148" i="90"/>
  <c r="N147" i="90"/>
  <c r="M147" i="90"/>
  <c r="L147" i="90"/>
  <c r="K147" i="90"/>
  <c r="J147" i="90"/>
  <c r="N146" i="90"/>
  <c r="M146" i="90"/>
  <c r="L146" i="90"/>
  <c r="K146" i="90"/>
  <c r="J146" i="90"/>
  <c r="N145" i="90"/>
  <c r="M145" i="90"/>
  <c r="L145" i="90"/>
  <c r="K145" i="90"/>
  <c r="J145" i="90"/>
  <c r="N144" i="90"/>
  <c r="M144" i="90"/>
  <c r="L144" i="90"/>
  <c r="K144" i="90"/>
  <c r="J144" i="90"/>
  <c r="N143" i="90"/>
  <c r="M143" i="90"/>
  <c r="L143" i="90"/>
  <c r="K143" i="90"/>
  <c r="J143" i="90"/>
  <c r="N142" i="90"/>
  <c r="M142" i="90"/>
  <c r="L142" i="90"/>
  <c r="K142" i="90"/>
  <c r="J142" i="90"/>
  <c r="N141" i="90"/>
  <c r="M141" i="90"/>
  <c r="L141" i="90"/>
  <c r="K141" i="90"/>
  <c r="J141" i="90"/>
  <c r="N140" i="90"/>
  <c r="M140" i="90"/>
  <c r="L140" i="90"/>
  <c r="K140" i="90"/>
  <c r="J140" i="90"/>
  <c r="N139" i="90"/>
  <c r="M139" i="90"/>
  <c r="L139" i="90"/>
  <c r="K139" i="90"/>
  <c r="J139" i="90"/>
  <c r="N138" i="90"/>
  <c r="M138" i="90"/>
  <c r="L138" i="90"/>
  <c r="K138" i="90"/>
  <c r="J138" i="90"/>
  <c r="N137" i="90"/>
  <c r="M137" i="90"/>
  <c r="L137" i="90"/>
  <c r="K137" i="90"/>
  <c r="J137" i="90"/>
  <c r="N136" i="90"/>
  <c r="M136" i="90"/>
  <c r="L136" i="90"/>
  <c r="K136" i="90"/>
  <c r="J136" i="90"/>
  <c r="N135" i="90"/>
  <c r="M135" i="90"/>
  <c r="L135" i="90"/>
  <c r="K135" i="90"/>
  <c r="J135" i="90"/>
  <c r="N134" i="90"/>
  <c r="M134" i="90"/>
  <c r="L134" i="90"/>
  <c r="K134" i="90"/>
  <c r="J134" i="90"/>
  <c r="N133" i="90"/>
  <c r="M133" i="90"/>
  <c r="L133" i="90"/>
  <c r="K133" i="90"/>
  <c r="J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6" i="90"/>
  <c r="M126" i="90"/>
  <c r="L126" i="90"/>
  <c r="K126" i="90"/>
  <c r="J126" i="90"/>
  <c r="N125" i="90"/>
  <c r="M125" i="90"/>
  <c r="L125" i="90"/>
  <c r="K125" i="90"/>
  <c r="J125" i="90"/>
  <c r="N124" i="90"/>
  <c r="M124" i="90"/>
  <c r="L124" i="90"/>
  <c r="K124" i="90"/>
  <c r="J124" i="90"/>
  <c r="N123" i="90"/>
  <c r="M123" i="90"/>
  <c r="L123" i="90"/>
  <c r="K123" i="90"/>
  <c r="J123" i="90"/>
  <c r="N122" i="90"/>
  <c r="M122" i="90"/>
  <c r="L122" i="90"/>
  <c r="K122" i="90"/>
  <c r="J122" i="90"/>
  <c r="N121" i="90"/>
  <c r="M121" i="90"/>
  <c r="L121" i="90"/>
  <c r="K121" i="90"/>
  <c r="J121" i="90"/>
  <c r="N120" i="90"/>
  <c r="M120" i="90"/>
  <c r="L120" i="90"/>
  <c r="K120" i="90"/>
  <c r="J120" i="90"/>
  <c r="N119" i="90"/>
  <c r="M119" i="90"/>
  <c r="L119" i="90"/>
  <c r="K119" i="90"/>
  <c r="J119" i="90"/>
  <c r="N90" i="90"/>
  <c r="M90" i="90"/>
  <c r="L90" i="90"/>
  <c r="K90" i="90"/>
  <c r="J90" i="90"/>
  <c r="N89" i="90"/>
  <c r="M89" i="90"/>
  <c r="L89" i="90"/>
  <c r="K89" i="90"/>
  <c r="J89" i="90"/>
  <c r="N88" i="90"/>
  <c r="M88" i="90"/>
  <c r="L88" i="90"/>
  <c r="K88" i="90"/>
  <c r="J88" i="90"/>
  <c r="N87" i="90"/>
  <c r="M87" i="90"/>
  <c r="L87" i="90"/>
  <c r="K87" i="90"/>
  <c r="J87" i="90"/>
  <c r="N86" i="90"/>
  <c r="M86" i="90"/>
  <c r="L86" i="90"/>
  <c r="K86" i="90"/>
  <c r="J86" i="90"/>
  <c r="N85" i="90"/>
  <c r="M85" i="90"/>
  <c r="L85" i="90"/>
  <c r="K85" i="90"/>
  <c r="J85" i="90"/>
  <c r="N84" i="90"/>
  <c r="M84" i="90"/>
  <c r="L84" i="90"/>
  <c r="K84" i="90"/>
  <c r="J84" i="90"/>
  <c r="N83" i="90"/>
  <c r="M83" i="90"/>
  <c r="L83" i="90"/>
  <c r="K83" i="90"/>
  <c r="J83" i="90"/>
  <c r="N82" i="90"/>
  <c r="M82" i="90"/>
  <c r="L82" i="90"/>
  <c r="K82" i="90"/>
  <c r="J82" i="90"/>
  <c r="N81" i="90"/>
  <c r="M81" i="90"/>
  <c r="L81" i="90"/>
  <c r="K81" i="90"/>
  <c r="J81" i="90"/>
  <c r="N80" i="90"/>
  <c r="M80" i="90"/>
  <c r="L80" i="90"/>
  <c r="K80" i="90"/>
  <c r="J80" i="90"/>
  <c r="N79" i="90"/>
  <c r="M79" i="90"/>
  <c r="L79" i="90"/>
  <c r="K79" i="90"/>
  <c r="J79" i="90"/>
  <c r="N78" i="90"/>
  <c r="M78" i="90"/>
  <c r="L78" i="90"/>
  <c r="K78" i="90"/>
  <c r="J78" i="90"/>
  <c r="N77" i="90"/>
  <c r="M77" i="90"/>
  <c r="L77" i="90"/>
  <c r="K77" i="90"/>
  <c r="J77" i="90"/>
  <c r="N76" i="90"/>
  <c r="M76" i="90"/>
  <c r="L76" i="90"/>
  <c r="K76" i="90"/>
  <c r="J76" i="90"/>
  <c r="N75" i="90"/>
  <c r="M75" i="90"/>
  <c r="L75" i="90"/>
  <c r="K75" i="90"/>
  <c r="J75" i="90"/>
  <c r="N74" i="90"/>
  <c r="M74" i="90"/>
  <c r="L74" i="90"/>
  <c r="K74" i="90"/>
  <c r="J74" i="90"/>
  <c r="N92" i="90"/>
  <c r="M92" i="90"/>
  <c r="L92" i="90"/>
  <c r="K92" i="90"/>
  <c r="J92" i="90"/>
  <c r="N91" i="90"/>
  <c r="M91" i="90"/>
  <c r="L91" i="90"/>
  <c r="K91" i="90"/>
  <c r="J91" i="90"/>
  <c r="N73" i="90"/>
  <c r="M73" i="90"/>
  <c r="L73" i="90"/>
  <c r="K73" i="90"/>
  <c r="J73" i="90"/>
  <c r="N72" i="90"/>
  <c r="M72" i="90"/>
  <c r="L72" i="90"/>
  <c r="K72" i="90"/>
  <c r="J72" i="90"/>
  <c r="N71" i="90"/>
  <c r="M71" i="90"/>
  <c r="L71" i="90"/>
  <c r="K71" i="90"/>
  <c r="J71" i="90"/>
  <c r="N70" i="90"/>
  <c r="M70" i="90"/>
  <c r="L70" i="90"/>
  <c r="K70" i="90"/>
  <c r="J70" i="90"/>
  <c r="N69" i="90"/>
  <c r="M69" i="90"/>
  <c r="L69" i="90"/>
  <c r="K69" i="90"/>
  <c r="J69" i="90"/>
  <c r="N68" i="90"/>
  <c r="M68" i="90"/>
  <c r="L68" i="90"/>
  <c r="K68" i="90"/>
  <c r="J68"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59" i="90"/>
  <c r="M59" i="90"/>
  <c r="L59" i="90"/>
  <c r="K59" i="90"/>
  <c r="J59" i="90"/>
  <c r="N58" i="90"/>
  <c r="M58" i="90"/>
  <c r="L58" i="90"/>
  <c r="K58" i="90"/>
  <c r="J58" i="90"/>
  <c r="N57" i="90"/>
  <c r="M57" i="90"/>
  <c r="L57" i="90"/>
  <c r="K57" i="90"/>
  <c r="J57" i="90"/>
  <c r="N56" i="90"/>
  <c r="M56" i="90"/>
  <c r="L56" i="90"/>
  <c r="K56" i="90"/>
  <c r="J56" i="90"/>
  <c r="N46" i="90"/>
  <c r="N45" i="90"/>
  <c r="N44" i="90"/>
  <c r="N43" i="90"/>
  <c r="N42" i="90"/>
  <c r="N41" i="90"/>
  <c r="N40" i="90"/>
  <c r="N39" i="90"/>
  <c r="N38" i="90"/>
  <c r="N37" i="90"/>
  <c r="N36" i="90"/>
  <c r="N35" i="90"/>
  <c r="N34" i="90"/>
  <c r="N33" i="90"/>
  <c r="N32" i="90"/>
  <c r="N31" i="90"/>
  <c r="N30" i="90"/>
  <c r="N29" i="90"/>
  <c r="J43" i="90"/>
  <c r="J42" i="90"/>
  <c r="J41" i="90"/>
  <c r="J40" i="90"/>
  <c r="J39" i="90"/>
  <c r="J38" i="90"/>
  <c r="J37" i="90"/>
  <c r="J36" i="90"/>
  <c r="J35" i="90"/>
  <c r="J34" i="90"/>
  <c r="J33" i="90"/>
  <c r="J32" i="90"/>
  <c r="J31" i="90"/>
  <c r="J30" i="90"/>
  <c r="J29" i="90"/>
  <c r="L46" i="90"/>
  <c r="L45" i="90"/>
  <c r="L44" i="90"/>
  <c r="L43" i="90"/>
  <c r="L42" i="90"/>
  <c r="L41" i="90"/>
  <c r="L40" i="90"/>
  <c r="L39" i="90"/>
  <c r="L38" i="90"/>
  <c r="L37" i="90"/>
  <c r="L36" i="90"/>
  <c r="L35" i="90"/>
  <c r="L34" i="90"/>
  <c r="L33" i="90"/>
  <c r="L32" i="90"/>
  <c r="L31" i="90"/>
  <c r="L30" i="90"/>
  <c r="L29" i="90"/>
  <c r="E37" i="193"/>
  <c r="J28" i="90"/>
  <c r="K28" i="90"/>
  <c r="L28" i="90"/>
  <c r="M28" i="90"/>
  <c r="N28" i="90"/>
  <c r="L21" i="217" l="1"/>
  <c r="N47" i="213" l="1"/>
  <c r="N46" i="213"/>
  <c r="N45" i="213"/>
  <c r="N44" i="213"/>
  <c r="N43" i="213"/>
  <c r="N42" i="213"/>
  <c r="N41" i="213"/>
  <c r="N40" i="213"/>
  <c r="N39" i="213"/>
  <c r="N38" i="213"/>
  <c r="N37" i="213"/>
  <c r="N36" i="213"/>
  <c r="N35" i="213"/>
  <c r="N34" i="213"/>
  <c r="N33" i="213"/>
  <c r="N32" i="213"/>
  <c r="M47" i="213"/>
  <c r="M46" i="213"/>
  <c r="M45" i="213"/>
  <c r="M44" i="213"/>
  <c r="M43" i="213"/>
  <c r="M42" i="213"/>
  <c r="M41" i="213"/>
  <c r="M40" i="213"/>
  <c r="M39" i="213"/>
  <c r="M38" i="213"/>
  <c r="M37" i="213"/>
  <c r="M36" i="213"/>
  <c r="M35" i="213"/>
  <c r="M34" i="213"/>
  <c r="N31" i="213"/>
  <c r="N30" i="213"/>
  <c r="N29" i="213"/>
  <c r="N28" i="213"/>
  <c r="N27" i="213"/>
  <c r="N26" i="213"/>
  <c r="N25" i="213"/>
  <c r="M27" i="213"/>
  <c r="M33" i="213"/>
  <c r="M32" i="213"/>
  <c r="M31" i="213"/>
  <c r="M30" i="213"/>
  <c r="M29" i="213"/>
  <c r="M28" i="213"/>
  <c r="M26" i="213"/>
  <c r="M25" i="213"/>
  <c r="E17" i="39" l="1"/>
  <c r="F24" i="39" l="1"/>
  <c r="D24" i="39"/>
  <c r="E24" i="39"/>
  <c r="B3" i="153" l="1"/>
  <c r="G44" i="206" l="1"/>
  <c r="F44" i="206"/>
  <c r="E44" i="206"/>
  <c r="D44" i="206"/>
  <c r="C44" i="206"/>
  <c r="G44" i="205"/>
  <c r="F44" i="205"/>
  <c r="E44" i="205"/>
  <c r="D44" i="205"/>
  <c r="C44" i="205"/>
  <c r="H24" i="205"/>
  <c r="G24" i="205"/>
  <c r="F24" i="205"/>
  <c r="E24" i="205"/>
  <c r="D24" i="205"/>
  <c r="C24" i="205"/>
  <c r="H24" i="206"/>
  <c r="G24" i="206"/>
  <c r="F24" i="206"/>
  <c r="E24" i="206"/>
  <c r="D24" i="206"/>
  <c r="C24" i="206"/>
  <c r="B86" i="222"/>
  <c r="G43" i="222"/>
  <c r="F43" i="222"/>
  <c r="E43" i="222"/>
  <c r="D43" i="222"/>
  <c r="C43" i="222"/>
  <c r="F24" i="222"/>
  <c r="E24" i="222"/>
  <c r="D24" i="222"/>
  <c r="C24" i="222"/>
  <c r="G11" i="213"/>
  <c r="P49" i="213"/>
  <c r="P48" i="213"/>
  <c r="P47" i="213"/>
  <c r="D47" i="213" s="1"/>
  <c r="E47" i="213" s="1"/>
  <c r="P46" i="213"/>
  <c r="D46" i="213" s="1"/>
  <c r="P45" i="213"/>
  <c r="D45" i="213" s="1"/>
  <c r="E45" i="213" s="1"/>
  <c r="P44" i="213"/>
  <c r="D44" i="213" s="1"/>
  <c r="P43" i="213"/>
  <c r="D43" i="213" s="1"/>
  <c r="P42" i="213"/>
  <c r="D42" i="213" s="1"/>
  <c r="P41" i="213"/>
  <c r="D41" i="213" s="1"/>
  <c r="P40" i="213"/>
  <c r="D40" i="213" s="1"/>
  <c r="E40" i="213" s="1"/>
  <c r="P39" i="213"/>
  <c r="D39" i="213" s="1"/>
  <c r="E39" i="213" s="1"/>
  <c r="P38" i="213"/>
  <c r="D38" i="213" s="1"/>
  <c r="E38" i="213" s="1"/>
  <c r="P37" i="213"/>
  <c r="D37" i="213" s="1"/>
  <c r="P36" i="213"/>
  <c r="D36" i="213" s="1"/>
  <c r="P35" i="213"/>
  <c r="D35" i="213" s="1"/>
  <c r="P34" i="213"/>
  <c r="D34" i="213" s="1"/>
  <c r="P33" i="213"/>
  <c r="D33" i="213" s="1"/>
  <c r="P32" i="213"/>
  <c r="D32" i="213" s="1"/>
  <c r="I32" i="213" s="1"/>
  <c r="P31" i="213"/>
  <c r="D31" i="213" s="1"/>
  <c r="P30" i="213"/>
  <c r="D30" i="213" s="1"/>
  <c r="P29" i="213"/>
  <c r="D29" i="213" s="1"/>
  <c r="P28" i="213"/>
  <c r="D28" i="213" s="1"/>
  <c r="P27" i="213"/>
  <c r="D27" i="213" s="1"/>
  <c r="P26" i="213"/>
  <c r="D26" i="213" s="1"/>
  <c r="P25" i="213"/>
  <c r="D25" i="213" s="1"/>
  <c r="P18" i="213"/>
  <c r="G18" i="213" s="1"/>
  <c r="P17" i="213"/>
  <c r="G17" i="213" s="1"/>
  <c r="P16" i="213"/>
  <c r="G16" i="213" s="1"/>
  <c r="G43" i="203"/>
  <c r="F43" i="203"/>
  <c r="E43" i="203"/>
  <c r="D43" i="203"/>
  <c r="C43" i="203"/>
  <c r="F24" i="203"/>
  <c r="E24" i="203"/>
  <c r="D24" i="203"/>
  <c r="C24" i="203"/>
  <c r="G11" i="74"/>
  <c r="P49" i="74"/>
  <c r="P48" i="74"/>
  <c r="P47" i="74"/>
  <c r="P46" i="74"/>
  <c r="P45" i="74"/>
  <c r="P44" i="74"/>
  <c r="D44" i="74" s="1"/>
  <c r="P43" i="74"/>
  <c r="D43" i="74" s="1"/>
  <c r="P42" i="74"/>
  <c r="D42" i="74" s="1"/>
  <c r="P41" i="74"/>
  <c r="D41" i="74" s="1"/>
  <c r="P40" i="74"/>
  <c r="D40" i="74" s="1"/>
  <c r="P39" i="74"/>
  <c r="D39" i="74" s="1"/>
  <c r="P38" i="74"/>
  <c r="D38" i="74" s="1"/>
  <c r="P37" i="74"/>
  <c r="D37" i="74" s="1"/>
  <c r="P36" i="74"/>
  <c r="D36" i="74" s="1"/>
  <c r="P35" i="74"/>
  <c r="D35" i="74" s="1"/>
  <c r="P34" i="74"/>
  <c r="D34" i="74" s="1"/>
  <c r="P33" i="74"/>
  <c r="D33" i="74" s="1"/>
  <c r="P32" i="74"/>
  <c r="D32" i="74" s="1"/>
  <c r="P31" i="74"/>
  <c r="D31" i="74" s="1"/>
  <c r="P30" i="74"/>
  <c r="D30" i="74" s="1"/>
  <c r="P29" i="74"/>
  <c r="D29" i="74" s="1"/>
  <c r="P28" i="74"/>
  <c r="D28" i="74" s="1"/>
  <c r="P27" i="74"/>
  <c r="D27" i="74" s="1"/>
  <c r="P26" i="74"/>
  <c r="D26" i="74" s="1"/>
  <c r="P25" i="74"/>
  <c r="D25" i="74" s="1"/>
  <c r="P18" i="74"/>
  <c r="G18" i="74" s="1"/>
  <c r="P17" i="74"/>
  <c r="G17" i="74" s="1"/>
  <c r="P16" i="74"/>
  <c r="G16" i="74" s="1"/>
  <c r="G44" i="188"/>
  <c r="F44" i="188"/>
  <c r="E44" i="188"/>
  <c r="D44" i="188"/>
  <c r="C44" i="188"/>
  <c r="H24" i="188"/>
  <c r="G24" i="188"/>
  <c r="F24" i="188"/>
  <c r="E24" i="188"/>
  <c r="D24" i="188"/>
  <c r="C24" i="188"/>
  <c r="G44" i="186"/>
  <c r="F44" i="186"/>
  <c r="E44" i="186"/>
  <c r="D44" i="186"/>
  <c r="C44" i="186"/>
  <c r="H24" i="186"/>
  <c r="G24" i="186"/>
  <c r="F24" i="186"/>
  <c r="E24" i="186"/>
  <c r="D24" i="186"/>
  <c r="C24" i="186"/>
  <c r="F5" i="149" l="1"/>
  <c r="J11" i="196" l="1"/>
  <c r="J11" i="179"/>
  <c r="U2" i="232" l="1"/>
  <c r="U2" i="231"/>
  <c r="H8" i="231"/>
  <c r="H8" i="232"/>
  <c r="N46" i="232"/>
  <c r="M46" i="232"/>
  <c r="J46" i="232"/>
  <c r="J54" i="232" s="1"/>
  <c r="J55" i="232" s="1"/>
  <c r="I46" i="232"/>
  <c r="I54" i="232" s="1"/>
  <c r="I55" i="232" s="1"/>
  <c r="F46" i="232"/>
  <c r="E46" i="232"/>
  <c r="W43" i="232"/>
  <c r="O43" i="232"/>
  <c r="K43" i="232"/>
  <c r="G43" i="232"/>
  <c r="W42" i="232"/>
  <c r="O42" i="232"/>
  <c r="R42" i="232" s="1"/>
  <c r="G42" i="232"/>
  <c r="O13" i="232"/>
  <c r="K13" i="232"/>
  <c r="G13" i="232"/>
  <c r="N92" i="231"/>
  <c r="M92" i="231"/>
  <c r="J92" i="231"/>
  <c r="I92" i="231"/>
  <c r="F92" i="231"/>
  <c r="E92" i="231"/>
  <c r="W89" i="231"/>
  <c r="O89" i="231"/>
  <c r="V89" i="231"/>
  <c r="G89" i="231"/>
  <c r="W88" i="231"/>
  <c r="O88" i="231"/>
  <c r="G88" i="231"/>
  <c r="O13" i="231"/>
  <c r="K13" i="231"/>
  <c r="R13" i="231" s="1"/>
  <c r="G13" i="231"/>
  <c r="R13" i="232" l="1"/>
  <c r="V42" i="232"/>
  <c r="E14" i="232"/>
  <c r="I14" i="232"/>
  <c r="H4" i="232"/>
  <c r="K92" i="231"/>
  <c r="H4" i="231"/>
  <c r="E14" i="231"/>
  <c r="I14" i="231"/>
  <c r="V88" i="231"/>
  <c r="O92" i="231"/>
  <c r="T13" i="232"/>
  <c r="V43" i="232"/>
  <c r="G46" i="232"/>
  <c r="K46" i="232"/>
  <c r="K54" i="232" s="1"/>
  <c r="K55" i="232" s="1"/>
  <c r="O46" i="232"/>
  <c r="T42" i="232"/>
  <c r="R43" i="232"/>
  <c r="T43" i="232" s="1"/>
  <c r="T15" i="232"/>
  <c r="T15" i="231"/>
  <c r="T13" i="231"/>
  <c r="G92" i="231"/>
  <c r="R88" i="231"/>
  <c r="T88" i="231" s="1"/>
  <c r="R89" i="231"/>
  <c r="T89" i="231" s="1"/>
  <c r="D237" i="86"/>
  <c r="T92" i="231" l="1"/>
  <c r="V92" i="231"/>
  <c r="R46" i="232"/>
  <c r="T46" i="232"/>
  <c r="V46" i="232"/>
  <c r="Q46" i="229"/>
  <c r="M46" i="229"/>
  <c r="I46" i="229"/>
  <c r="E46" i="229"/>
  <c r="R92" i="231" l="1"/>
  <c r="S46" i="229"/>
  <c r="S49" i="216"/>
  <c r="S48" i="216"/>
  <c r="S47" i="216"/>
  <c r="S46" i="216"/>
  <c r="O19" i="216"/>
  <c r="N19" i="216"/>
  <c r="G23" i="204" s="1"/>
  <c r="O18" i="216"/>
  <c r="N18" i="216"/>
  <c r="O19" i="129"/>
  <c r="N19" i="129"/>
  <c r="G23" i="86" s="1"/>
  <c r="O18" i="129"/>
  <c r="P18" i="129" s="1"/>
  <c r="N18" i="129"/>
  <c r="S49" i="129"/>
  <c r="S48" i="129"/>
  <c r="S47" i="129"/>
  <c r="S46" i="129"/>
  <c r="P18" i="216" l="1"/>
  <c r="P19" i="216"/>
  <c r="P19" i="129"/>
  <c r="N43" i="210"/>
  <c r="M43" i="210"/>
  <c r="L43" i="210"/>
  <c r="K43" i="210"/>
  <c r="J43" i="210"/>
  <c r="N113" i="209"/>
  <c r="M113" i="209"/>
  <c r="L113" i="209"/>
  <c r="K113" i="209"/>
  <c r="J113" i="209"/>
  <c r="N112" i="209"/>
  <c r="M112" i="209"/>
  <c r="L112" i="209"/>
  <c r="K112" i="209"/>
  <c r="J112" i="209"/>
  <c r="N111" i="209"/>
  <c r="M111" i="209"/>
  <c r="L111" i="209"/>
  <c r="K111" i="209"/>
  <c r="J111" i="209"/>
  <c r="N110" i="209"/>
  <c r="M110" i="209"/>
  <c r="L110" i="209"/>
  <c r="K110" i="209"/>
  <c r="J110" i="209"/>
  <c r="J114" i="209"/>
  <c r="K114" i="209"/>
  <c r="L114" i="209"/>
  <c r="M114" i="209"/>
  <c r="N114" i="209"/>
  <c r="N106" i="209"/>
  <c r="M106" i="209"/>
  <c r="L106" i="209"/>
  <c r="K106" i="209"/>
  <c r="J106" i="209"/>
  <c r="N105" i="209"/>
  <c r="M105" i="209"/>
  <c r="L105" i="209"/>
  <c r="K105" i="209"/>
  <c r="J105" i="209"/>
  <c r="N104" i="209"/>
  <c r="M104" i="209"/>
  <c r="L104" i="209"/>
  <c r="K104" i="209"/>
  <c r="J104" i="209"/>
  <c r="N103" i="209"/>
  <c r="M103" i="209"/>
  <c r="L103" i="209"/>
  <c r="K103" i="209"/>
  <c r="J103" i="209"/>
  <c r="N96" i="209"/>
  <c r="M96" i="209"/>
  <c r="L96" i="209"/>
  <c r="K96" i="209"/>
  <c r="J96" i="209"/>
  <c r="N95" i="209"/>
  <c r="M95" i="209"/>
  <c r="L95" i="209"/>
  <c r="K95" i="209"/>
  <c r="J95" i="209"/>
  <c r="N94" i="209"/>
  <c r="M94" i="209"/>
  <c r="L94" i="209"/>
  <c r="K94" i="209"/>
  <c r="J94" i="209"/>
  <c r="N93" i="209"/>
  <c r="M93" i="209"/>
  <c r="L93" i="209"/>
  <c r="K93" i="209"/>
  <c r="J93" i="209"/>
  <c r="N2" i="204" l="1"/>
  <c r="Y23" i="213" s="1"/>
  <c r="L15" i="149"/>
  <c r="Q42" i="229"/>
  <c r="M42" i="229"/>
  <c r="I42" i="229"/>
  <c r="E42" i="229"/>
  <c r="S42" i="229" s="1"/>
  <c r="S41" i="229"/>
  <c r="Q41" i="229"/>
  <c r="M41" i="229"/>
  <c r="I41" i="229"/>
  <c r="E41" i="229"/>
  <c r="Q40" i="229"/>
  <c r="M40" i="229"/>
  <c r="I40" i="229"/>
  <c r="E40" i="229"/>
  <c r="S40" i="229" s="1"/>
  <c r="Q39" i="229"/>
  <c r="M39" i="229"/>
  <c r="S39" i="229" s="1"/>
  <c r="I39" i="229"/>
  <c r="E39" i="229"/>
  <c r="Q38" i="229"/>
  <c r="M38" i="229"/>
  <c r="I38" i="229"/>
  <c r="E38" i="229"/>
  <c r="S38" i="229" s="1"/>
  <c r="Q37" i="229"/>
  <c r="M37" i="229"/>
  <c r="I37" i="229"/>
  <c r="E37" i="229"/>
  <c r="S37" i="229" s="1"/>
  <c r="S36" i="229"/>
  <c r="Q36" i="229"/>
  <c r="M36" i="229"/>
  <c r="I36" i="229"/>
  <c r="E36" i="229"/>
  <c r="Q35" i="229"/>
  <c r="M35" i="229"/>
  <c r="I35" i="229"/>
  <c r="E35" i="229"/>
  <c r="Q34" i="229"/>
  <c r="M34" i="229"/>
  <c r="I34" i="229"/>
  <c r="E34" i="229"/>
  <c r="S34" i="229" s="1"/>
  <c r="S33" i="229"/>
  <c r="Q33" i="229"/>
  <c r="M33" i="229"/>
  <c r="I33" i="229"/>
  <c r="E33" i="229"/>
  <c r="Q32" i="229"/>
  <c r="M32" i="229"/>
  <c r="I32" i="229"/>
  <c r="E32" i="229"/>
  <c r="S32" i="229" s="1"/>
  <c r="Q28" i="229"/>
  <c r="M28" i="229"/>
  <c r="I28" i="229"/>
  <c r="S28" i="229" s="1"/>
  <c r="E28" i="229"/>
  <c r="Q27" i="229"/>
  <c r="M27" i="229"/>
  <c r="I27" i="229"/>
  <c r="E27" i="229"/>
  <c r="S27" i="229" s="1"/>
  <c r="Q26" i="229"/>
  <c r="M26" i="229"/>
  <c r="I26" i="229"/>
  <c r="E26" i="229"/>
  <c r="S26" i="229" s="1"/>
  <c r="S25" i="229"/>
  <c r="Q25" i="229"/>
  <c r="M25" i="229"/>
  <c r="I25" i="229"/>
  <c r="E25" i="229"/>
  <c r="Q24" i="229"/>
  <c r="M24" i="229"/>
  <c r="I24" i="229"/>
  <c r="E24" i="229"/>
  <c r="S24" i="229" s="1"/>
  <c r="Q23" i="229"/>
  <c r="M23" i="229"/>
  <c r="I23" i="229"/>
  <c r="E23" i="229"/>
  <c r="S23" i="229" s="1"/>
  <c r="Q22" i="229"/>
  <c r="S22" i="229" s="1"/>
  <c r="M22" i="229"/>
  <c r="I22" i="229"/>
  <c r="E22" i="229"/>
  <c r="Q21" i="229"/>
  <c r="M21" i="229"/>
  <c r="I21" i="229"/>
  <c r="E21" i="229"/>
  <c r="Q20" i="229"/>
  <c r="M20" i="229"/>
  <c r="I20" i="229"/>
  <c r="E20" i="229"/>
  <c r="S20" i="229" s="1"/>
  <c r="K45" i="228"/>
  <c r="J45" i="228"/>
  <c r="I45" i="228"/>
  <c r="K44" i="228"/>
  <c r="N44" i="228" s="1"/>
  <c r="K43" i="228"/>
  <c r="N43" i="228" s="1"/>
  <c r="K42" i="228"/>
  <c r="N42" i="228" s="1"/>
  <c r="K41" i="228"/>
  <c r="N41" i="228" s="1"/>
  <c r="N40" i="228"/>
  <c r="N45" i="228" s="1"/>
  <c r="K40" i="228"/>
  <c r="I33" i="228"/>
  <c r="G147" i="204" s="1"/>
  <c r="I28" i="228"/>
  <c r="I23" i="228"/>
  <c r="I16" i="228"/>
  <c r="B16" i="228"/>
  <c r="B18" i="228" s="1"/>
  <c r="B15" i="228"/>
  <c r="B14" i="228"/>
  <c r="B13" i="228"/>
  <c r="B12" i="228"/>
  <c r="B11" i="228"/>
  <c r="A5" i="228"/>
  <c r="A2" i="228"/>
  <c r="G18" i="227"/>
  <c r="F18" i="227"/>
  <c r="H17" i="227"/>
  <c r="H16" i="227"/>
  <c r="H15" i="227"/>
  <c r="A16" i="227"/>
  <c r="A17" i="227" s="1"/>
  <c r="A18" i="227" s="1"/>
  <c r="E98" i="204" s="1"/>
  <c r="H12" i="227"/>
  <c r="A12" i="227"/>
  <c r="A13" i="227"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H43" i="222" s="1"/>
  <c r="E86" i="222"/>
  <c r="E88" i="222" s="1"/>
  <c r="G23" i="222"/>
  <c r="G22" i="222"/>
  <c r="G21" i="222"/>
  <c r="G20" i="222"/>
  <c r="A20" i="222"/>
  <c r="A21" i="222" s="1"/>
  <c r="A22" i="222" s="1"/>
  <c r="A23" i="222" s="1"/>
  <c r="A24" i="222" s="1"/>
  <c r="G19" i="222"/>
  <c r="G18" i="222"/>
  <c r="G17" i="222"/>
  <c r="G16" i="222"/>
  <c r="A16" i="222"/>
  <c r="A17" i="222" s="1"/>
  <c r="A18" i="222" s="1"/>
  <c r="A19" i="222" s="1"/>
  <c r="G15" i="222"/>
  <c r="G14" i="222"/>
  <c r="G13" i="222"/>
  <c r="G12" i="222"/>
  <c r="A12" i="222"/>
  <c r="A13" i="222" s="1"/>
  <c r="A14" i="222" s="1"/>
  <c r="A15" i="222" s="1"/>
  <c r="G11" i="222"/>
  <c r="A5" i="222"/>
  <c r="A2" i="222"/>
  <c r="G195" i="221"/>
  <c r="E60" i="221"/>
  <c r="M30" i="221"/>
  <c r="I27" i="221"/>
  <c r="I26" i="221"/>
  <c r="I25" i="221"/>
  <c r="G20" i="221"/>
  <c r="G19" i="221"/>
  <c r="A19" i="221"/>
  <c r="A20" i="221" s="1"/>
  <c r="A21" i="221" s="1"/>
  <c r="A22" i="221" s="1"/>
  <c r="A25" i="221" s="1"/>
  <c r="A26" i="221" s="1"/>
  <c r="A27" i="221" s="1"/>
  <c r="A30" i="221" s="1"/>
  <c r="A31" i="221" s="1"/>
  <c r="A34" i="221" s="1"/>
  <c r="A35" i="221" s="1"/>
  <c r="A36" i="221" s="1"/>
  <c r="A37" i="221" s="1"/>
  <c r="A38" i="221" s="1"/>
  <c r="A39" i="221" s="1"/>
  <c r="A40" i="221" s="1"/>
  <c r="A41" i="221" s="1"/>
  <c r="A42" i="221" s="1"/>
  <c r="A43" i="221" s="1"/>
  <c r="A60" i="221" s="1"/>
  <c r="C63" i="221" s="1"/>
  <c r="M16" i="221"/>
  <c r="A16" i="221"/>
  <c r="A18" i="221" s="1"/>
  <c r="A5" i="221"/>
  <c r="A2" i="221"/>
  <c r="E53" i="220"/>
  <c r="F61" i="215" s="1"/>
  <c r="P30" i="215" s="1"/>
  <c r="K44" i="220"/>
  <c r="F65" i="216" s="1"/>
  <c r="K42" i="220"/>
  <c r="F63" i="216" s="1"/>
  <c r="A41" i="220"/>
  <c r="A42" i="220" s="1"/>
  <c r="A43" i="220" s="1"/>
  <c r="A44" i="220" s="1"/>
  <c r="A45" i="220" s="1"/>
  <c r="F27" i="220"/>
  <c r="F23" i="220"/>
  <c r="F19" i="220"/>
  <c r="F15" i="220"/>
  <c r="F11" i="220"/>
  <c r="A5" i="220"/>
  <c r="A2" i="220"/>
  <c r="F45" i="219"/>
  <c r="G146" i="204" s="1"/>
  <c r="L146" i="204" s="1"/>
  <c r="N146" i="204" s="1"/>
  <c r="D45" i="219"/>
  <c r="G140" i="204" s="1"/>
  <c r="E45" i="219"/>
  <c r="F36" i="219"/>
  <c r="G145" i="204" s="1"/>
  <c r="D36" i="219"/>
  <c r="G139" i="204" s="1"/>
  <c r="E36" i="219"/>
  <c r="F27" i="219"/>
  <c r="G144" i="204" s="1"/>
  <c r="D27" i="219"/>
  <c r="G138" i="204" s="1"/>
  <c r="A16" i="219"/>
  <c r="A17" i="219" s="1"/>
  <c r="A18" i="219" s="1"/>
  <c r="E27" i="219"/>
  <c r="A5" i="219"/>
  <c r="G21" i="218"/>
  <c r="B13" i="218"/>
  <c r="A5" i="218"/>
  <c r="A2" i="218"/>
  <c r="C52" i="217"/>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A16" i="216"/>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S15" i="216"/>
  <c r="A14" i="216"/>
  <c r="A15" i="216" s="1"/>
  <c r="C13" i="216"/>
  <c r="A13" i="216"/>
  <c r="A12" i="216"/>
  <c r="F11" i="216"/>
  <c r="C9" i="216"/>
  <c r="C7" i="216"/>
  <c r="A5" i="216"/>
  <c r="A2" i="216"/>
  <c r="O159" i="215"/>
  <c r="N159" i="215"/>
  <c r="L159" i="215"/>
  <c r="C159" i="215"/>
  <c r="N158" i="215"/>
  <c r="L158" i="215"/>
  <c r="O158" i="215" s="1"/>
  <c r="C158" i="215"/>
  <c r="N157" i="215"/>
  <c r="O157" i="215" s="1"/>
  <c r="L157" i="215"/>
  <c r="C157" i="215"/>
  <c r="O156" i="215"/>
  <c r="N156" i="215"/>
  <c r="L156" i="215"/>
  <c r="C156" i="215"/>
  <c r="N155" i="215"/>
  <c r="O155" i="215" s="1"/>
  <c r="L155" i="215"/>
  <c r="C155" i="215"/>
  <c r="N154" i="215"/>
  <c r="O154" i="215" s="1"/>
  <c r="L154" i="215"/>
  <c r="C154" i="215"/>
  <c r="N153" i="215"/>
  <c r="O153" i="215" s="1"/>
  <c r="L153" i="215"/>
  <c r="C153" i="215"/>
  <c r="O152" i="215"/>
  <c r="N152" i="215"/>
  <c r="L152" i="215"/>
  <c r="C152" i="215"/>
  <c r="N151" i="215"/>
  <c r="O151" i="215" s="1"/>
  <c r="L151" i="215"/>
  <c r="C151" i="215"/>
  <c r="N150" i="215"/>
  <c r="L150" i="215"/>
  <c r="O150" i="215" s="1"/>
  <c r="C150" i="215"/>
  <c r="N149" i="215"/>
  <c r="O149" i="215" s="1"/>
  <c r="L149" i="215"/>
  <c r="C149" i="215"/>
  <c r="O148" i="215"/>
  <c r="N148" i="215"/>
  <c r="L148" i="215"/>
  <c r="C148" i="215"/>
  <c r="N147" i="215"/>
  <c r="O147" i="215" s="1"/>
  <c r="L147" i="215"/>
  <c r="C147" i="215"/>
  <c r="N146" i="215"/>
  <c r="O146" i="215" s="1"/>
  <c r="L146" i="215"/>
  <c r="C146" i="215"/>
  <c r="N145" i="215"/>
  <c r="O145" i="215" s="1"/>
  <c r="L145" i="215"/>
  <c r="C145" i="215"/>
  <c r="N144" i="215"/>
  <c r="L144" i="215"/>
  <c r="O144" i="215" s="1"/>
  <c r="C144" i="215"/>
  <c r="N143" i="215"/>
  <c r="O143" i="215" s="1"/>
  <c r="L143" i="215"/>
  <c r="C143" i="215"/>
  <c r="N142" i="215"/>
  <c r="O142" i="215" s="1"/>
  <c r="L142" i="215"/>
  <c r="C142" i="215"/>
  <c r="N141" i="215"/>
  <c r="O141" i="215" s="1"/>
  <c r="L141" i="215"/>
  <c r="C141" i="215"/>
  <c r="N140" i="215"/>
  <c r="L140" i="215"/>
  <c r="C140" i="215"/>
  <c r="N139" i="215"/>
  <c r="O139" i="215" s="1"/>
  <c r="L139" i="215"/>
  <c r="C139" i="215"/>
  <c r="N138" i="215"/>
  <c r="O138" i="215" s="1"/>
  <c r="L138" i="215"/>
  <c r="C138" i="215"/>
  <c r="N137" i="215"/>
  <c r="O137" i="215" s="1"/>
  <c r="L137" i="215"/>
  <c r="C137" i="215"/>
  <c r="N136" i="215"/>
  <c r="O136" i="215" s="1"/>
  <c r="L136" i="215"/>
  <c r="C136" i="215"/>
  <c r="N135" i="215"/>
  <c r="L135" i="215"/>
  <c r="O135" i="215" s="1"/>
  <c r="C135" i="215"/>
  <c r="O134" i="215"/>
  <c r="N134" i="215"/>
  <c r="L134" i="215"/>
  <c r="C134" i="215"/>
  <c r="N133" i="215"/>
  <c r="L133" i="215"/>
  <c r="C133" i="215"/>
  <c r="N132" i="215"/>
  <c r="L132" i="215"/>
  <c r="C132" i="215"/>
  <c r="N131" i="215"/>
  <c r="O131" i="215" s="1"/>
  <c r="L131" i="215"/>
  <c r="C131" i="215"/>
  <c r="N130" i="215"/>
  <c r="O130" i="215" s="1"/>
  <c r="L130" i="215"/>
  <c r="C130" i="215"/>
  <c r="N129" i="215"/>
  <c r="O129" i="215" s="1"/>
  <c r="L129" i="215"/>
  <c r="C129" i="215"/>
  <c r="N128" i="215"/>
  <c r="O128" i="215" s="1"/>
  <c r="L128" i="215"/>
  <c r="C128" i="215"/>
  <c r="N127" i="215"/>
  <c r="L127" i="215"/>
  <c r="O127" i="215" s="1"/>
  <c r="C127" i="215"/>
  <c r="O126" i="215"/>
  <c r="N126" i="215"/>
  <c r="L126" i="215"/>
  <c r="C126" i="215"/>
  <c r="N125" i="215"/>
  <c r="L125" i="215"/>
  <c r="C125" i="215"/>
  <c r="N124" i="215"/>
  <c r="L124" i="215"/>
  <c r="C124" i="215"/>
  <c r="N123" i="215"/>
  <c r="O123" i="215" s="1"/>
  <c r="L123" i="215"/>
  <c r="C123" i="215"/>
  <c r="N122" i="215"/>
  <c r="O122" i="215" s="1"/>
  <c r="L122" i="215"/>
  <c r="C122" i="215"/>
  <c r="N121" i="215"/>
  <c r="O121" i="215" s="1"/>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O115" i="215" s="1"/>
  <c r="C115" i="215"/>
  <c r="N114" i="215"/>
  <c r="O114" i="215" s="1"/>
  <c r="L114" i="215"/>
  <c r="C114" i="215"/>
  <c r="N113" i="215"/>
  <c r="O113" i="215" s="1"/>
  <c r="L113" i="215"/>
  <c r="C113" i="215"/>
  <c r="N112" i="215"/>
  <c r="O112" i="215" s="1"/>
  <c r="L112" i="215"/>
  <c r="C112" i="215"/>
  <c r="N111" i="215"/>
  <c r="L111" i="215"/>
  <c r="O111" i="215" s="1"/>
  <c r="C111" i="215"/>
  <c r="O110" i="215"/>
  <c r="N110" i="215"/>
  <c r="L110" i="215"/>
  <c r="C110" i="215"/>
  <c r="N109" i="215"/>
  <c r="L109" i="215"/>
  <c r="C109" i="215"/>
  <c r="N108" i="215"/>
  <c r="L108" i="215"/>
  <c r="C108" i="215"/>
  <c r="N107" i="215"/>
  <c r="O107" i="215" s="1"/>
  <c r="L107" i="215"/>
  <c r="C107" i="215"/>
  <c r="N106" i="215"/>
  <c r="O106" i="215" s="1"/>
  <c r="L106" i="215"/>
  <c r="C106" i="215"/>
  <c r="N105" i="215"/>
  <c r="O105" i="215" s="1"/>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A15" i="215"/>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P14" i="215"/>
  <c r="C13" i="215"/>
  <c r="A13" i="215"/>
  <c r="A14" i="215" s="1"/>
  <c r="A12" i="215"/>
  <c r="F11" i="215"/>
  <c r="P13" i="215" s="1"/>
  <c r="C9" i="215"/>
  <c r="C7" i="215"/>
  <c r="A5" i="215"/>
  <c r="A2" i="215"/>
  <c r="C20" i="214"/>
  <c r="C22" i="214" s="1"/>
  <c r="A17" i="214"/>
  <c r="A18" i="214" s="1"/>
  <c r="A20" i="214" s="1"/>
  <c r="A22" i="214" s="1"/>
  <c r="E111" i="204" s="1"/>
  <c r="A16" i="214"/>
  <c r="A14" i="214"/>
  <c r="C8" i="214"/>
  <c r="B20" i="214" s="1"/>
  <c r="A5" i="214"/>
  <c r="A2" i="214"/>
  <c r="M53" i="213"/>
  <c r="AC51" i="213"/>
  <c r="AB51" i="213"/>
  <c r="AA51" i="213"/>
  <c r="Z51" i="213"/>
  <c r="Y51" i="213"/>
  <c r="X51" i="213"/>
  <c r="W51" i="213"/>
  <c r="V51" i="213"/>
  <c r="U51" i="213"/>
  <c r="T51" i="213"/>
  <c r="S51" i="213"/>
  <c r="R51" i="213"/>
  <c r="Q51" i="213"/>
  <c r="G51" i="213"/>
  <c r="H49" i="213"/>
  <c r="F49" i="213"/>
  <c r="H48" i="213"/>
  <c r="F48" i="213"/>
  <c r="E46" i="213"/>
  <c r="E44" i="213"/>
  <c r="J43" i="213"/>
  <c r="J42" i="213"/>
  <c r="J41" i="213"/>
  <c r="A37" i="213"/>
  <c r="A38" i="213" s="1"/>
  <c r="A39" i="213" s="1"/>
  <c r="A40" i="213" s="1"/>
  <c r="A41" i="213" s="1"/>
  <c r="A42" i="213" s="1"/>
  <c r="A43" i="213" s="1"/>
  <c r="A44" i="213" s="1"/>
  <c r="A45" i="213" s="1"/>
  <c r="A46" i="213" s="1"/>
  <c r="A47" i="213" s="1"/>
  <c r="A48" i="213" s="1"/>
  <c r="A49" i="213" s="1"/>
  <c r="A51" i="213" s="1"/>
  <c r="E36" i="213"/>
  <c r="E34" i="213"/>
  <c r="L33" i="213"/>
  <c r="L34" i="213" s="1"/>
  <c r="L35" i="213" s="1"/>
  <c r="L36" i="213" s="1"/>
  <c r="L37" i="213" s="1"/>
  <c r="L38" i="213" s="1"/>
  <c r="L39" i="213" s="1"/>
  <c r="L40" i="213" s="1"/>
  <c r="L41" i="213" s="1"/>
  <c r="L42" i="213" s="1"/>
  <c r="L43" i="213" s="1"/>
  <c r="L44" i="213" s="1"/>
  <c r="L45" i="213" s="1"/>
  <c r="L46" i="213" s="1"/>
  <c r="L47" i="213" s="1"/>
  <c r="L48" i="213" s="1"/>
  <c r="L49" i="213" s="1"/>
  <c r="L51" i="213" s="1"/>
  <c r="E33" i="213"/>
  <c r="I31" i="213"/>
  <c r="I51" i="213" s="1"/>
  <c r="G106" i="204" s="1"/>
  <c r="J30" i="213"/>
  <c r="H29" i="213"/>
  <c r="F29" i="213"/>
  <c r="E29" i="213"/>
  <c r="A29" i="213"/>
  <c r="A30" i="213" s="1"/>
  <c r="A31" i="213" s="1"/>
  <c r="A32" i="213" s="1"/>
  <c r="A33" i="213" s="1"/>
  <c r="A34" i="213" s="1"/>
  <c r="A35" i="213" s="1"/>
  <c r="A36" i="213" s="1"/>
  <c r="E28" i="213"/>
  <c r="H28" i="213"/>
  <c r="F28" i="213"/>
  <c r="A28" i="213"/>
  <c r="H27" i="213"/>
  <c r="F27" i="213"/>
  <c r="E27" i="213"/>
  <c r="L26" i="213"/>
  <c r="L27" i="213" s="1"/>
  <c r="L28" i="213" s="1"/>
  <c r="L29" i="213" s="1"/>
  <c r="L30" i="213" s="1"/>
  <c r="L31" i="213" s="1"/>
  <c r="L32" i="213" s="1"/>
  <c r="H26" i="213"/>
  <c r="F26" i="213"/>
  <c r="H25" i="213"/>
  <c r="F25" i="213"/>
  <c r="AC23" i="213"/>
  <c r="U23" i="213"/>
  <c r="Q23" i="213"/>
  <c r="D23" i="213"/>
  <c r="L17" i="213"/>
  <c r="L18" i="213" s="1"/>
  <c r="L25" i="213" s="1"/>
  <c r="A17" i="213"/>
  <c r="A18" i="213" s="1"/>
  <c r="A25" i="213" s="1"/>
  <c r="A26" i="213" s="1"/>
  <c r="A27" i="213" s="1"/>
  <c r="AB12" i="213"/>
  <c r="AA12" i="213"/>
  <c r="S12" i="213"/>
  <c r="A5" i="213"/>
  <c r="M5" i="213" s="1"/>
  <c r="M4" i="213"/>
  <c r="A2" i="213"/>
  <c r="M2" i="213" s="1"/>
  <c r="G42" i="212"/>
  <c r="G43" i="212" s="1"/>
  <c r="F42" i="212"/>
  <c r="F43" i="212" s="1"/>
  <c r="G39" i="212"/>
  <c r="G38" i="212"/>
  <c r="F38" i="212"/>
  <c r="F39" i="212" s="1"/>
  <c r="E38" i="212"/>
  <c r="K44" i="210" s="1"/>
  <c r="F35" i="212"/>
  <c r="E35" i="212"/>
  <c r="D34" i="212"/>
  <c r="D33" i="212"/>
  <c r="D48" i="212" s="1"/>
  <c r="D32" i="212"/>
  <c r="I22" i="212"/>
  <c r="I23" i="212" s="1"/>
  <c r="H22" i="212"/>
  <c r="H23" i="212" s="1"/>
  <c r="G22" i="212"/>
  <c r="F22" i="212"/>
  <c r="E22" i="212"/>
  <c r="E23" i="212" s="1"/>
  <c r="G21" i="212"/>
  <c r="F21" i="212"/>
  <c r="D18" i="212"/>
  <c r="I17" i="212"/>
  <c r="I19" i="212" s="1"/>
  <c r="I26" i="212" s="1"/>
  <c r="I27" i="212" s="1"/>
  <c r="H17" i="212"/>
  <c r="H19" i="212" s="1"/>
  <c r="H26" i="212" s="1"/>
  <c r="H27" i="212" s="1"/>
  <c r="G17" i="212"/>
  <c r="G19" i="212" s="1"/>
  <c r="G26" i="212" s="1"/>
  <c r="F17" i="212"/>
  <c r="F19" i="212" s="1"/>
  <c r="F26" i="212" s="1"/>
  <c r="E17" i="212"/>
  <c r="A16" i="212"/>
  <c r="C17" i="212" s="1"/>
  <c r="D15" i="212"/>
  <c r="B6" i="212"/>
  <c r="B3" i="212"/>
  <c r="G56" i="211"/>
  <c r="F56" i="211"/>
  <c r="G55" i="211"/>
  <c r="G54" i="211"/>
  <c r="C54" i="211"/>
  <c r="H54" i="211" s="1"/>
  <c r="G53" i="211"/>
  <c r="G52" i="211"/>
  <c r="G51" i="211"/>
  <c r="G50" i="211"/>
  <c r="C50" i="211"/>
  <c r="H50" i="211" s="1"/>
  <c r="G49" i="211"/>
  <c r="G48" i="211"/>
  <c r="G47" i="211"/>
  <c r="G46" i="211"/>
  <c r="C46" i="211"/>
  <c r="H46" i="211" s="1"/>
  <c r="G45" i="211"/>
  <c r="I44" i="211"/>
  <c r="H44" i="211"/>
  <c r="G44" i="211"/>
  <c r="C44" i="211"/>
  <c r="D44" i="211" s="1"/>
  <c r="H39" i="211"/>
  <c r="H40" i="211" s="1"/>
  <c r="F30" i="211"/>
  <c r="G30" i="211" s="1"/>
  <c r="G29" i="211"/>
  <c r="G28" i="211"/>
  <c r="G27" i="211"/>
  <c r="G26" i="211"/>
  <c r="G25" i="211"/>
  <c r="G24" i="211"/>
  <c r="G23" i="211"/>
  <c r="G22" i="211"/>
  <c r="G21" i="211"/>
  <c r="G20" i="211"/>
  <c r="G19" i="211"/>
  <c r="G18" i="211"/>
  <c r="E13" i="211"/>
  <c r="A13" i="211"/>
  <c r="E14" i="211" s="1"/>
  <c r="A12" i="211"/>
  <c r="A4" i="211"/>
  <c r="A3" i="211"/>
  <c r="H186" i="210"/>
  <c r="D45" i="208" s="1"/>
  <c r="N184" i="210"/>
  <c r="M184" i="210"/>
  <c r="L184" i="210"/>
  <c r="K184" i="210"/>
  <c r="J184" i="210"/>
  <c r="N179" i="210"/>
  <c r="M179" i="210"/>
  <c r="L179" i="210"/>
  <c r="K179" i="210"/>
  <c r="J179" i="210"/>
  <c r="N113" i="210"/>
  <c r="M113" i="210"/>
  <c r="L113" i="210"/>
  <c r="K113" i="210"/>
  <c r="J113" i="210"/>
  <c r="H108" i="210"/>
  <c r="D33" i="208" s="1"/>
  <c r="N107" i="210"/>
  <c r="M107" i="210"/>
  <c r="L107" i="210"/>
  <c r="J107" i="210"/>
  <c r="N106" i="210"/>
  <c r="M106" i="210"/>
  <c r="L106" i="210"/>
  <c r="K106" i="210"/>
  <c r="J106" i="210"/>
  <c r="N101" i="210"/>
  <c r="M101" i="210"/>
  <c r="L101" i="210"/>
  <c r="K101" i="210"/>
  <c r="J101" i="210"/>
  <c r="N100" i="210"/>
  <c r="M100" i="210"/>
  <c r="L100" i="210"/>
  <c r="K100" i="210"/>
  <c r="J100" i="210"/>
  <c r="H50" i="210"/>
  <c r="H52" i="210" s="1"/>
  <c r="N49" i="210"/>
  <c r="M49" i="210"/>
  <c r="L49" i="210"/>
  <c r="K49" i="210"/>
  <c r="J49" i="210"/>
  <c r="N47" i="210"/>
  <c r="M47" i="210"/>
  <c r="L47" i="210"/>
  <c r="K47" i="210"/>
  <c r="J47" i="210"/>
  <c r="K45" i="210"/>
  <c r="N10" i="210"/>
  <c r="M10" i="210"/>
  <c r="L10" i="210"/>
  <c r="K10" i="210"/>
  <c r="J10" i="210"/>
  <c r="C4" i="210"/>
  <c r="C3" i="210"/>
  <c r="H209" i="209"/>
  <c r="D44" i="208" s="1"/>
  <c r="N204" i="209"/>
  <c r="M204" i="209"/>
  <c r="L204" i="209"/>
  <c r="K204" i="209"/>
  <c r="J204" i="209"/>
  <c r="N128" i="209"/>
  <c r="M128" i="209"/>
  <c r="L128" i="209"/>
  <c r="K128" i="209"/>
  <c r="J128" i="209"/>
  <c r="H124" i="209"/>
  <c r="N123" i="209"/>
  <c r="M123" i="209"/>
  <c r="L123" i="209"/>
  <c r="J123" i="209"/>
  <c r="N115" i="209"/>
  <c r="M115" i="209"/>
  <c r="L115" i="209"/>
  <c r="N109" i="209"/>
  <c r="M109" i="209"/>
  <c r="L109" i="209"/>
  <c r="K109" i="209"/>
  <c r="J109" i="209"/>
  <c r="N108" i="209"/>
  <c r="M108" i="209"/>
  <c r="L108" i="209"/>
  <c r="K108" i="209"/>
  <c r="J108" i="209"/>
  <c r="N107" i="209"/>
  <c r="M107" i="209"/>
  <c r="L107" i="209"/>
  <c r="K107" i="209"/>
  <c r="J107" i="209"/>
  <c r="N92" i="209"/>
  <c r="M92" i="209"/>
  <c r="L92" i="209"/>
  <c r="K92" i="209"/>
  <c r="J92" i="209"/>
  <c r="N91" i="209"/>
  <c r="M91" i="209"/>
  <c r="L91" i="209"/>
  <c r="K91" i="209"/>
  <c r="J91" i="209"/>
  <c r="N89" i="209"/>
  <c r="M89" i="209"/>
  <c r="L89" i="209"/>
  <c r="K89" i="209"/>
  <c r="J89" i="209"/>
  <c r="N88" i="209"/>
  <c r="M88" i="209"/>
  <c r="L88" i="209"/>
  <c r="K88" i="209"/>
  <c r="J88" i="209"/>
  <c r="N87" i="209"/>
  <c r="M87" i="209"/>
  <c r="L87" i="209"/>
  <c r="K87" i="209"/>
  <c r="J87" i="209"/>
  <c r="N86" i="209"/>
  <c r="M86" i="209"/>
  <c r="L86" i="209"/>
  <c r="K86" i="209"/>
  <c r="J86" i="209"/>
  <c r="N85" i="209"/>
  <c r="M85" i="209"/>
  <c r="L85" i="209"/>
  <c r="K85" i="209"/>
  <c r="J85" i="209"/>
  <c r="N84" i="209"/>
  <c r="M84" i="209"/>
  <c r="L84" i="209"/>
  <c r="K84" i="209"/>
  <c r="J84" i="209"/>
  <c r="N83" i="209"/>
  <c r="M83" i="209"/>
  <c r="L83" i="209"/>
  <c r="K83" i="209"/>
  <c r="J83" i="209"/>
  <c r="N82" i="209"/>
  <c r="M82" i="209"/>
  <c r="L82" i="209"/>
  <c r="K82" i="209"/>
  <c r="J82" i="209"/>
  <c r="N81" i="209"/>
  <c r="M81" i="209"/>
  <c r="L81" i="209"/>
  <c r="K81" i="209"/>
  <c r="J81" i="209"/>
  <c r="N80" i="209"/>
  <c r="M80" i="209"/>
  <c r="L80" i="209"/>
  <c r="K80" i="209"/>
  <c r="J80" i="209"/>
  <c r="N78" i="209"/>
  <c r="M78" i="209"/>
  <c r="L78" i="209"/>
  <c r="K78" i="209"/>
  <c r="J78" i="209"/>
  <c r="N77" i="209"/>
  <c r="M77" i="209"/>
  <c r="L77" i="209"/>
  <c r="K77" i="209"/>
  <c r="J77" i="209"/>
  <c r="N76" i="209"/>
  <c r="M76" i="209"/>
  <c r="L76" i="209"/>
  <c r="K76" i="209"/>
  <c r="J76" i="209"/>
  <c r="N75" i="209"/>
  <c r="M75" i="209"/>
  <c r="L75" i="209"/>
  <c r="K75" i="209"/>
  <c r="J75" i="209"/>
  <c r="N74" i="209"/>
  <c r="M74" i="209"/>
  <c r="L74" i="209"/>
  <c r="K74" i="209"/>
  <c r="J74" i="209"/>
  <c r="N73" i="209"/>
  <c r="M73" i="209"/>
  <c r="L73" i="209"/>
  <c r="K73" i="209"/>
  <c r="J73" i="209"/>
  <c r="N71" i="209"/>
  <c r="M71" i="209"/>
  <c r="L71" i="209"/>
  <c r="K71" i="209"/>
  <c r="J71" i="209"/>
  <c r="N70" i="209"/>
  <c r="M70" i="209"/>
  <c r="L70" i="209"/>
  <c r="K70" i="209"/>
  <c r="J70" i="209"/>
  <c r="N69" i="209"/>
  <c r="M69" i="209"/>
  <c r="L69" i="209"/>
  <c r="K69" i="209"/>
  <c r="J69" i="209"/>
  <c r="N68" i="209"/>
  <c r="M68" i="209"/>
  <c r="L68" i="209"/>
  <c r="K68" i="209"/>
  <c r="J68" i="209"/>
  <c r="N67" i="209"/>
  <c r="M67" i="209"/>
  <c r="L67" i="209"/>
  <c r="K67" i="209"/>
  <c r="J67" i="209"/>
  <c r="N63" i="209"/>
  <c r="M63" i="209"/>
  <c r="L63" i="209"/>
  <c r="K63" i="209"/>
  <c r="J63" i="209"/>
  <c r="H59" i="209"/>
  <c r="N58" i="209"/>
  <c r="M58" i="209"/>
  <c r="L58" i="209"/>
  <c r="K58" i="209"/>
  <c r="J58" i="209"/>
  <c r="N57" i="209"/>
  <c r="M57" i="209"/>
  <c r="L57" i="209"/>
  <c r="K57" i="209"/>
  <c r="J57" i="209"/>
  <c r="N44" i="209"/>
  <c r="M44" i="209"/>
  <c r="L44" i="209"/>
  <c r="K44" i="209"/>
  <c r="J44" i="209"/>
  <c r="N12" i="209"/>
  <c r="M12" i="209"/>
  <c r="L12" i="209"/>
  <c r="K12" i="209"/>
  <c r="J12" i="209"/>
  <c r="N11" i="209"/>
  <c r="M11" i="209"/>
  <c r="L11" i="209"/>
  <c r="K11" i="209"/>
  <c r="J11" i="209"/>
  <c r="C6" i="209"/>
  <c r="C4" i="209"/>
  <c r="C3" i="209"/>
  <c r="D62" i="208"/>
  <c r="G91" i="204" s="1"/>
  <c r="D61" i="208"/>
  <c r="G59" i="208"/>
  <c r="G61" i="208" s="1"/>
  <c r="G62" i="208" s="1"/>
  <c r="C58" i="208"/>
  <c r="F37" i="208"/>
  <c r="E37" i="208"/>
  <c r="D32" i="208"/>
  <c r="A22" i="208"/>
  <c r="A23" i="208" s="1"/>
  <c r="A24" i="208" s="1"/>
  <c r="A25" i="208" s="1"/>
  <c r="A26" i="208" s="1"/>
  <c r="A27" i="208" s="1"/>
  <c r="A32" i="208" s="1"/>
  <c r="A33" i="208" s="1"/>
  <c r="A35" i="208" s="1"/>
  <c r="A36" i="208" s="1"/>
  <c r="A20" i="208"/>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I53" i="205"/>
  <c r="G94" i="204" s="1"/>
  <c r="L94" i="204" s="1"/>
  <c r="N94" i="204" s="1"/>
  <c r="H53" i="205"/>
  <c r="G53" i="205"/>
  <c r="H48" i="205"/>
  <c r="L208" i="204"/>
  <c r="A14" i="205"/>
  <c r="A15" i="205" s="1"/>
  <c r="A16" i="205" s="1"/>
  <c r="A17" i="205" s="1"/>
  <c r="A18" i="205" s="1"/>
  <c r="A19" i="205" s="1"/>
  <c r="A20" i="205" s="1"/>
  <c r="A21" i="205" s="1"/>
  <c r="A22" i="205" s="1"/>
  <c r="A23" i="205" s="1"/>
  <c r="A24" i="205" s="1"/>
  <c r="A13" i="205"/>
  <c r="A12" i="205"/>
  <c r="A5" i="205"/>
  <c r="A5" i="229" s="1"/>
  <c r="A2" i="205"/>
  <c r="D274" i="204"/>
  <c r="E236" i="204"/>
  <c r="J236" i="204" s="1"/>
  <c r="D236" i="204"/>
  <c r="L231" i="204"/>
  <c r="E231" i="204"/>
  <c r="L230" i="204"/>
  <c r="E230" i="204"/>
  <c r="L229" i="204"/>
  <c r="E229" i="204"/>
  <c r="L228" i="204"/>
  <c r="E228" i="204"/>
  <c r="L226" i="204"/>
  <c r="G219" i="204"/>
  <c r="F219" i="204"/>
  <c r="L218" i="204"/>
  <c r="H218" i="204"/>
  <c r="L217" i="204"/>
  <c r="H217" i="204"/>
  <c r="L216" i="204"/>
  <c r="H216" i="204"/>
  <c r="H215" i="204"/>
  <c r="L214" i="204"/>
  <c r="H214" i="204"/>
  <c r="L207" i="204"/>
  <c r="G186" i="204"/>
  <c r="L186" i="204" s="1"/>
  <c r="N186" i="204" s="1"/>
  <c r="D186" i="204"/>
  <c r="G156" i="204"/>
  <c r="G143" i="204"/>
  <c r="G141" i="204"/>
  <c r="G133" i="204"/>
  <c r="G132" i="204"/>
  <c r="G131" i="204"/>
  <c r="E131" i="204"/>
  <c r="B127" i="204"/>
  <c r="L125" i="204"/>
  <c r="N125" i="204" s="1"/>
  <c r="I125" i="204"/>
  <c r="G125" i="204"/>
  <c r="E125" i="204"/>
  <c r="L124" i="204"/>
  <c r="N124" i="204" s="1"/>
  <c r="E124" i="204"/>
  <c r="F117" i="204"/>
  <c r="F197" i="204" s="1"/>
  <c r="F242" i="204" s="1"/>
  <c r="G107" i="204"/>
  <c r="L107" i="204" s="1"/>
  <c r="N107" i="204" s="1"/>
  <c r="G104" i="204"/>
  <c r="E104" i="204"/>
  <c r="G103" i="204"/>
  <c r="E103" i="204"/>
  <c r="G102" i="204"/>
  <c r="E102" i="204"/>
  <c r="L96" i="204"/>
  <c r="N96" i="204" s="1"/>
  <c r="G96" i="204"/>
  <c r="D79" i="204"/>
  <c r="D74" i="204"/>
  <c r="D82" i="204" s="1"/>
  <c r="G73" i="204"/>
  <c r="G72" i="204"/>
  <c r="D72" i="204"/>
  <c r="D81" i="204" s="1"/>
  <c r="G71" i="204"/>
  <c r="L71" i="204" s="1"/>
  <c r="N71" i="204" s="1"/>
  <c r="G70" i="204"/>
  <c r="L70" i="204" s="1"/>
  <c r="N70" i="204" s="1"/>
  <c r="D70" i="204"/>
  <c r="D80" i="204" s="1"/>
  <c r="G69" i="204"/>
  <c r="G68" i="204"/>
  <c r="D68" i="204"/>
  <c r="G67" i="204"/>
  <c r="G66" i="204"/>
  <c r="L66" i="204" s="1"/>
  <c r="N66" i="204" s="1"/>
  <c r="D66" i="204"/>
  <c r="D78" i="204" s="1"/>
  <c r="G62" i="204"/>
  <c r="G61" i="204"/>
  <c r="G60" i="204"/>
  <c r="G59" i="204"/>
  <c r="L59" i="204" s="1"/>
  <c r="N59" i="204" s="1"/>
  <c r="G58" i="204"/>
  <c r="L58" i="204" s="1"/>
  <c r="N58" i="204" s="1"/>
  <c r="G57" i="204"/>
  <c r="G56" i="204"/>
  <c r="G55" i="204"/>
  <c r="L55" i="204" s="1"/>
  <c r="N55" i="204" s="1"/>
  <c r="G54" i="204"/>
  <c r="B53" i="204"/>
  <c r="B52" i="204"/>
  <c r="B126" i="204" s="1"/>
  <c r="F46" i="204"/>
  <c r="F120" i="204" s="1"/>
  <c r="F200" i="204" s="1"/>
  <c r="F245" i="204" s="1"/>
  <c r="F43" i="204"/>
  <c r="F42" i="204"/>
  <c r="F116" i="204" s="1"/>
  <c r="F196" i="204" s="1"/>
  <c r="F241" i="204" s="1"/>
  <c r="L35" i="204"/>
  <c r="L23" i="204"/>
  <c r="L16" i="204"/>
  <c r="B14" i="204"/>
  <c r="B16" i="204" s="1"/>
  <c r="E18" i="204" s="1"/>
  <c r="M23" i="147" l="1"/>
  <c r="B11" i="223" s="1"/>
  <c r="F11" i="223" s="1"/>
  <c r="D19" i="223" s="1"/>
  <c r="N23" i="204"/>
  <c r="M30" i="147"/>
  <c r="N35" i="204"/>
  <c r="M18" i="147"/>
  <c r="N16" i="204"/>
  <c r="J64" i="204"/>
  <c r="H26" i="208" s="1"/>
  <c r="H37" i="208" s="1"/>
  <c r="H51" i="208" s="1"/>
  <c r="P63" i="223"/>
  <c r="F61" i="216"/>
  <c r="R31" i="216" s="1"/>
  <c r="H12" i="211"/>
  <c r="C18" i="211" s="1"/>
  <c r="L49" i="223"/>
  <c r="L52" i="223"/>
  <c r="L53" i="223"/>
  <c r="L48" i="223"/>
  <c r="L56" i="223"/>
  <c r="L57" i="223"/>
  <c r="L50" i="223"/>
  <c r="L54" i="223"/>
  <c r="L58" i="223"/>
  <c r="L51" i="223"/>
  <c r="L55" i="223"/>
  <c r="N19" i="223"/>
  <c r="E39" i="212"/>
  <c r="J44" i="210" s="1"/>
  <c r="F23" i="212"/>
  <c r="J45" i="210" s="1"/>
  <c r="D19" i="208"/>
  <c r="D25" i="212"/>
  <c r="G24" i="222"/>
  <c r="K60" i="221"/>
  <c r="G164" i="204" s="1"/>
  <c r="G60" i="221"/>
  <c r="G162" i="204" s="1"/>
  <c r="M60" i="221"/>
  <c r="G163" i="204" s="1"/>
  <c r="L163" i="204" s="1"/>
  <c r="N163" i="204" s="1"/>
  <c r="I60" i="221"/>
  <c r="G160" i="204" s="1"/>
  <c r="A20" i="219"/>
  <c r="A21" i="219" s="1"/>
  <c r="A23" i="219" s="1"/>
  <c r="A27" i="219" s="1"/>
  <c r="F29" i="220"/>
  <c r="F300" i="204" s="1"/>
  <c r="G168" i="204" s="1"/>
  <c r="G172" i="204" s="1"/>
  <c r="M52" i="217"/>
  <c r="G14" i="204" s="1"/>
  <c r="L14" i="204" s="1"/>
  <c r="F13" i="215"/>
  <c r="E18" i="215" s="1"/>
  <c r="G81" i="204"/>
  <c r="L80" i="204"/>
  <c r="N80" i="204" s="1"/>
  <c r="G78" i="204"/>
  <c r="G75" i="204"/>
  <c r="J51" i="213"/>
  <c r="G105" i="204" s="1"/>
  <c r="E51" i="213"/>
  <c r="G108" i="204" s="1"/>
  <c r="L108" i="204" s="1"/>
  <c r="N108" i="204" s="1"/>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J102" i="210" s="1"/>
  <c r="J108" i="210" s="1"/>
  <c r="E33" i="208" s="1"/>
  <c r="D20" i="208"/>
  <c r="D21" i="212"/>
  <c r="N50" i="210"/>
  <c r="I20" i="208" s="1"/>
  <c r="D47" i="208"/>
  <c r="D48" i="208" s="1"/>
  <c r="G90" i="204" s="1"/>
  <c r="L186" i="210"/>
  <c r="G45" i="208" s="1"/>
  <c r="M186" i="210"/>
  <c r="H45" i="208" s="1"/>
  <c r="D37" i="212"/>
  <c r="K50" i="210"/>
  <c r="F20" i="208" s="1"/>
  <c r="J209" i="209"/>
  <c r="E44" i="208" s="1"/>
  <c r="O104" i="215"/>
  <c r="M209" i="209"/>
  <c r="H44" i="208" s="1"/>
  <c r="K209" i="209"/>
  <c r="F44" i="208" s="1"/>
  <c r="N209" i="209"/>
  <c r="I44" i="208" s="1"/>
  <c r="K124" i="209"/>
  <c r="F32" i="208" s="1"/>
  <c r="L124" i="209"/>
  <c r="G32" i="208" s="1"/>
  <c r="G27" i="212"/>
  <c r="J124" i="209" s="1"/>
  <c r="E32" i="208" s="1"/>
  <c r="L59" i="209"/>
  <c r="G19"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108" i="210"/>
  <c r="H33" i="208" s="1"/>
  <c r="A46" i="220"/>
  <c r="A48" i="220" s="1"/>
  <c r="A50" i="220" s="1"/>
  <c r="A51" i="220" s="1"/>
  <c r="D47" i="220"/>
  <c r="L67" i="204"/>
  <c r="N67" i="204" s="1"/>
  <c r="D41" i="212"/>
  <c r="E17" i="216"/>
  <c r="R19" i="216" s="1"/>
  <c r="E17" i="215"/>
  <c r="K186" i="210"/>
  <c r="F45" i="208" s="1"/>
  <c r="G79" i="204"/>
  <c r="L206" i="204"/>
  <c r="L209" i="204" s="1"/>
  <c r="G63" i="204"/>
  <c r="G134" i="204"/>
  <c r="G46" i="206"/>
  <c r="L68" i="204" s="1"/>
  <c r="M59" i="209"/>
  <c r="H19" i="208" s="1"/>
  <c r="D39" i="212"/>
  <c r="N59" i="209"/>
  <c r="I19" i="208" s="1"/>
  <c r="M124" i="209"/>
  <c r="H32" i="208" s="1"/>
  <c r="L50" i="210"/>
  <c r="G20" i="208" s="1"/>
  <c r="K102" i="210"/>
  <c r="K108" i="210" s="1"/>
  <c r="F33" i="208" s="1"/>
  <c r="F27" i="212"/>
  <c r="D17" i="212"/>
  <c r="D47" i="212" s="1"/>
  <c r="D49" i="212" s="1"/>
  <c r="N174" i="204" s="1"/>
  <c r="E19" i="212"/>
  <c r="L54" i="204"/>
  <c r="N54" i="204" s="1"/>
  <c r="E88" i="204"/>
  <c r="L232" i="204"/>
  <c r="E237" i="204" s="1"/>
  <c r="D35" i="208"/>
  <c r="D36" i="208" s="1"/>
  <c r="G89" i="204" s="1"/>
  <c r="N124" i="209"/>
  <c r="I32" i="208" s="1"/>
  <c r="L209" i="209"/>
  <c r="G44" i="208" s="1"/>
  <c r="M50" i="210"/>
  <c r="H20" i="208" s="1"/>
  <c r="N186" i="210"/>
  <c r="I45" i="208" s="1"/>
  <c r="C44" i="208"/>
  <c r="C45" i="208"/>
  <c r="D38" i="212"/>
  <c r="L108" i="210"/>
  <c r="G33" i="208" s="1"/>
  <c r="D51" i="213"/>
  <c r="P51" i="213"/>
  <c r="A6" i="226"/>
  <c r="B5" i="224"/>
  <c r="B5" i="223"/>
  <c r="A3" i="218"/>
  <c r="A3" i="222"/>
  <c r="A3" i="219"/>
  <c r="A4" i="217"/>
  <c r="A3" i="221"/>
  <c r="A3" i="220"/>
  <c r="A3" i="214"/>
  <c r="N108"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I47" i="211" s="1"/>
  <c r="I48" i="211" s="1"/>
  <c r="I49" i="211" s="1"/>
  <c r="I50" i="211" s="1"/>
  <c r="I51" i="211" s="1"/>
  <c r="I52" i="211" s="1"/>
  <c r="I53" i="211" s="1"/>
  <c r="I54" i="211" s="1"/>
  <c r="I55" i="211" s="1"/>
  <c r="I56" i="211" s="1"/>
  <c r="I58" i="211" s="1"/>
  <c r="B4" i="212"/>
  <c r="F81" i="216"/>
  <c r="R34" i="216" s="1"/>
  <c r="F81" i="215"/>
  <c r="E42" i="212"/>
  <c r="D35" i="212"/>
  <c r="B22" i="214"/>
  <c r="F13" i="216"/>
  <c r="E18" i="216" s="1"/>
  <c r="A3" i="207"/>
  <c r="J186" i="210"/>
  <c r="E45" i="208" s="1"/>
  <c r="A3" i="215"/>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D20" i="223"/>
  <c r="R19" i="223"/>
  <c r="F20" i="223"/>
  <c r="J20" i="223" s="1"/>
  <c r="N20" i="223" s="1"/>
  <c r="E104" i="215"/>
  <c r="F21" i="218"/>
  <c r="E235" i="204"/>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S35" i="229"/>
  <c r="S21" i="229"/>
  <c r="J12" i="224"/>
  <c r="B25" i="224"/>
  <c r="B31" i="224"/>
  <c r="J68" i="204" l="1"/>
  <c r="J69" i="204" s="1"/>
  <c r="L69" i="204" s="1"/>
  <c r="N69" i="204" s="1"/>
  <c r="N68" i="204"/>
  <c r="M16" i="147"/>
  <c r="N14" i="204"/>
  <c r="H13" i="211"/>
  <c r="H14" i="211" s="1"/>
  <c r="C30" i="211" s="1"/>
  <c r="H30" i="211" s="1"/>
  <c r="B24" i="224"/>
  <c r="B23" i="224"/>
  <c r="P12" i="215"/>
  <c r="A3" i="228"/>
  <c r="A3" i="216"/>
  <c r="B5" i="225"/>
  <c r="A3" i="213"/>
  <c r="M3" i="213" s="1"/>
  <c r="R20" i="223"/>
  <c r="H18" i="211"/>
  <c r="I18" i="211" s="1"/>
  <c r="D18" i="211"/>
  <c r="J50" i="210"/>
  <c r="E20" i="208" s="1"/>
  <c r="D22" i="208"/>
  <c r="D23" i="208" s="1"/>
  <c r="D25" i="208" s="1"/>
  <c r="M61" i="221"/>
  <c r="G165" i="204"/>
  <c r="E144" i="204"/>
  <c r="A30" i="219"/>
  <c r="D23" i="212"/>
  <c r="F30" i="216"/>
  <c r="R22" i="216" s="1"/>
  <c r="F30" i="215"/>
  <c r="P21" i="215" s="1"/>
  <c r="G83" i="204"/>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E35" i="208"/>
  <c r="E36" i="208" s="1"/>
  <c r="E38" i="208" s="1"/>
  <c r="D50" i="208"/>
  <c r="H47" i="208"/>
  <c r="H48" i="208" s="1"/>
  <c r="H50" i="208" s="1"/>
  <c r="H52" i="208" s="1"/>
  <c r="G35" i="208"/>
  <c r="G36" i="208" s="1"/>
  <c r="G22" i="208"/>
  <c r="G23" i="208" s="1"/>
  <c r="I60" i="211"/>
  <c r="F49"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A52" i="220"/>
  <c r="A53" i="220" s="1"/>
  <c r="C53" i="220"/>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59" i="209"/>
  <c r="F19" i="208" s="1"/>
  <c r="F22" i="208" s="1"/>
  <c r="F23" i="208" s="1"/>
  <c r="F25" i="208" s="1"/>
  <c r="F27" i="208" s="1"/>
  <c r="B46" i="206"/>
  <c r="L78" i="204"/>
  <c r="N78" i="204" s="1"/>
  <c r="P18" i="215"/>
  <c r="B35" i="224"/>
  <c r="B36" i="224"/>
  <c r="B37" i="224"/>
  <c r="B38" i="224"/>
  <c r="B39" i="224"/>
  <c r="B40" i="224"/>
  <c r="J13" i="224"/>
  <c r="B11" i="224"/>
  <c r="B39" i="226"/>
  <c r="P33" i="215"/>
  <c r="F83" i="215"/>
  <c r="F84" i="215" s="1"/>
  <c r="F85" i="215" s="1"/>
  <c r="I35" i="208"/>
  <c r="I36" i="208" s="1"/>
  <c r="L179" i="204"/>
  <c r="N179" i="204" s="1"/>
  <c r="G179" i="204"/>
  <c r="G180" i="204"/>
  <c r="L180" i="204"/>
  <c r="N180" i="204" s="1"/>
  <c r="G178" i="204"/>
  <c r="E43" i="212"/>
  <c r="B25" i="228"/>
  <c r="E133" i="204"/>
  <c r="F83" i="216"/>
  <c r="F84" i="216" s="1"/>
  <c r="F85" i="216" s="1"/>
  <c r="G101" i="204"/>
  <c r="G109" i="204" s="1"/>
  <c r="G150" i="204"/>
  <c r="E27" i="204"/>
  <c r="B27" i="204"/>
  <c r="B29" i="204" s="1"/>
  <c r="D29" i="204"/>
  <c r="L56" i="204"/>
  <c r="N56" i="204" s="1"/>
  <c r="F104" i="215"/>
  <c r="F21" i="223"/>
  <c r="J21" i="223" s="1"/>
  <c r="N21" i="223" s="1"/>
  <c r="H24" i="223" s="1"/>
  <c r="D21" i="223"/>
  <c r="E238" i="204"/>
  <c r="H35" i="208"/>
  <c r="H36" i="208" s="1"/>
  <c r="H38" i="208" s="1"/>
  <c r="G111" i="204"/>
  <c r="L111" i="204" s="1"/>
  <c r="N111" i="204" s="1"/>
  <c r="E96" i="86"/>
  <c r="C81" i="129"/>
  <c r="C81" i="143"/>
  <c r="C27" i="211" l="1"/>
  <c r="H27" i="211" s="1"/>
  <c r="C28" i="211"/>
  <c r="H28" i="211" s="1"/>
  <c r="C25" i="211"/>
  <c r="H25" i="211" s="1"/>
  <c r="C21" i="211"/>
  <c r="H21" i="211" s="1"/>
  <c r="C22" i="211"/>
  <c r="H22" i="211" s="1"/>
  <c r="C26" i="211"/>
  <c r="H26" i="211" s="1"/>
  <c r="C24" i="211"/>
  <c r="H24" i="211" s="1"/>
  <c r="C20" i="211"/>
  <c r="H20" i="211" s="1"/>
  <c r="C19" i="211"/>
  <c r="H19" i="211" s="1"/>
  <c r="I19" i="211" s="1"/>
  <c r="C29" i="211"/>
  <c r="H29" i="211" s="1"/>
  <c r="C23" i="211"/>
  <c r="H23" i="211" s="1"/>
  <c r="A31" i="219"/>
  <c r="A32" i="219" s="1"/>
  <c r="A33" i="219" s="1"/>
  <c r="H22" i="223"/>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19" i="212"/>
  <c r="C22" i="212"/>
  <c r="D105" i="215"/>
  <c r="E105" i="215"/>
  <c r="D43" i="212"/>
  <c r="J59" i="209"/>
  <c r="E19" i="208" s="1"/>
  <c r="E22" i="208" s="1"/>
  <c r="E23" i="208" s="1"/>
  <c r="E25" i="208" s="1"/>
  <c r="E27" i="208" s="1"/>
  <c r="E27" i="212"/>
  <c r="D27" i="212" s="1"/>
  <c r="D26" i="212"/>
  <c r="L211" i="204"/>
  <c r="F34" i="216"/>
  <c r="R24" i="216" s="1"/>
  <c r="F34" i="215"/>
  <c r="P23" i="215" s="1"/>
  <c r="B28" i="228"/>
  <c r="B27" i="228"/>
  <c r="B26" i="228"/>
  <c r="E79" i="222"/>
  <c r="E81" i="222" s="1"/>
  <c r="E82" i="222" s="1"/>
  <c r="E53" i="222" s="1"/>
  <c r="E58" i="222" s="1"/>
  <c r="G235" i="204"/>
  <c r="G236" i="204"/>
  <c r="G237" i="204"/>
  <c r="D22" i="223"/>
  <c r="F22" i="223"/>
  <c r="J22" i="223" s="1"/>
  <c r="N22" i="223" s="1"/>
  <c r="R21" i="223"/>
  <c r="H23" i="223"/>
  <c r="D32" i="204"/>
  <c r="B30" i="204"/>
  <c r="E90" i="204"/>
  <c r="A52" i="222"/>
  <c r="A53" i="222" s="1"/>
  <c r="A54" i="222" s="1"/>
  <c r="A55" i="222" s="1"/>
  <c r="A56" i="222" s="1"/>
  <c r="A57" i="222" s="1"/>
  <c r="A58" i="222" s="1"/>
  <c r="D207" i="86"/>
  <c r="D208" i="86"/>
  <c r="I20" i="211" l="1"/>
  <c r="I21" i="211" s="1"/>
  <c r="I22" i="211" s="1"/>
  <c r="I23" i="211" s="1"/>
  <c r="I24" i="211" s="1"/>
  <c r="I25" i="211" s="1"/>
  <c r="I26" i="211" s="1"/>
  <c r="I27" i="211" s="1"/>
  <c r="I28" i="211" s="1"/>
  <c r="I29" i="211" s="1"/>
  <c r="I30" i="211" s="1"/>
  <c r="I32" i="211" s="1"/>
  <c r="D19" i="211"/>
  <c r="D20" i="211" s="1"/>
  <c r="D21" i="211" s="1"/>
  <c r="D22" i="211" s="1"/>
  <c r="D23" i="211" s="1"/>
  <c r="D24" i="211" s="1"/>
  <c r="D25" i="211" s="1"/>
  <c r="D26" i="211" s="1"/>
  <c r="D27" i="211" s="1"/>
  <c r="D28" i="211" s="1"/>
  <c r="D29" i="211" s="1"/>
  <c r="D30" i="211" s="1"/>
  <c r="D32" i="211" s="1"/>
  <c r="R22" i="223"/>
  <c r="A34" i="219"/>
  <c r="A36" i="219" s="1"/>
  <c r="D16" i="216"/>
  <c r="R16" i="216" s="1"/>
  <c r="D16" i="215"/>
  <c r="D18" i="215"/>
  <c r="D18" i="216"/>
  <c r="R20" i="216" s="1"/>
  <c r="D17" i="216"/>
  <c r="R18" i="216" s="1"/>
  <c r="D17" i="215"/>
  <c r="B59" i="223"/>
  <c r="B58" i="223"/>
  <c r="B50" i="223"/>
  <c r="B51" i="223"/>
  <c r="B57" i="223"/>
  <c r="B56" i="223"/>
  <c r="B53" i="223"/>
  <c r="B48" i="223"/>
  <c r="B54" i="223"/>
  <c r="B49" i="223"/>
  <c r="B52" i="223"/>
  <c r="B55" i="223"/>
  <c r="J144" i="204"/>
  <c r="L144" i="204" s="1"/>
  <c r="N144" i="204" s="1"/>
  <c r="J215" i="204"/>
  <c r="L215" i="204" s="1"/>
  <c r="L219" i="204" s="1"/>
  <c r="L221" i="204" s="1"/>
  <c r="J102" i="204"/>
  <c r="L102" i="204" s="1"/>
  <c r="N102" i="204" s="1"/>
  <c r="J153" i="204"/>
  <c r="L153" i="204" s="1"/>
  <c r="N153" i="204" s="1"/>
  <c r="J134" i="204"/>
  <c r="L134" i="204" s="1"/>
  <c r="J57" i="204"/>
  <c r="L57" i="204" s="1"/>
  <c r="N57" i="204" s="1"/>
  <c r="A21" i="212"/>
  <c r="C26" i="212"/>
  <c r="E60" i="222"/>
  <c r="J235" i="204" s="1"/>
  <c r="L225" i="204"/>
  <c r="B60" i="222"/>
  <c r="A60" i="222"/>
  <c r="A63" i="222" s="1"/>
  <c r="E225" i="204"/>
  <c r="B58" i="222"/>
  <c r="D23" i="223"/>
  <c r="F23" i="223"/>
  <c r="J23" i="223" s="1"/>
  <c r="N23" i="223" s="1"/>
  <c r="B30" i="228"/>
  <c r="E141" i="204"/>
  <c r="A38" i="211"/>
  <c r="A39" i="211" s="1"/>
  <c r="L237" i="204"/>
  <c r="P15" i="215"/>
  <c r="C77" i="216"/>
  <c r="S33" i="216" s="1"/>
  <c r="C77" i="215"/>
  <c r="Q32" i="215" s="1"/>
  <c r="B32" i="204"/>
  <c r="B33" i="204" s="1"/>
  <c r="B105" i="215"/>
  <c r="F105" i="215"/>
  <c r="L236" i="204"/>
  <c r="F82" i="129"/>
  <c r="F82" i="143"/>
  <c r="L101" i="204" l="1"/>
  <c r="N101" i="204" s="1"/>
  <c r="N134" i="204"/>
  <c r="I34" i="211"/>
  <c r="G24" i="208" s="1"/>
  <c r="G25" i="208" s="1"/>
  <c r="A39" i="219"/>
  <c r="A40" i="219" s="1"/>
  <c r="A41" i="219" s="1"/>
  <c r="A42" i="219" s="1"/>
  <c r="A43" i="219" s="1"/>
  <c r="A45" i="219" s="1"/>
  <c r="E146" i="204" s="1"/>
  <c r="E145" i="204"/>
  <c r="J105" i="204"/>
  <c r="L105" i="204" s="1"/>
  <c r="N105" i="204" s="1"/>
  <c r="J60" i="204"/>
  <c r="L60" i="204" s="1"/>
  <c r="N60" i="204" s="1"/>
  <c r="J74" i="204"/>
  <c r="L74" i="204" s="1"/>
  <c r="N74" i="204" s="1"/>
  <c r="J62" i="204"/>
  <c r="L62" i="204" s="1"/>
  <c r="N62" i="204" s="1"/>
  <c r="J73" i="204"/>
  <c r="L73" i="204" s="1"/>
  <c r="N73" i="204" s="1"/>
  <c r="J155" i="204"/>
  <c r="L155" i="204" s="1"/>
  <c r="N155" i="204" s="1"/>
  <c r="I26" i="208"/>
  <c r="J61" i="204"/>
  <c r="L61" i="204" s="1"/>
  <c r="N61" i="204" s="1"/>
  <c r="J147" i="204"/>
  <c r="L147" i="204" s="1"/>
  <c r="N147" i="204" s="1"/>
  <c r="J154" i="204"/>
  <c r="L154" i="204" s="1"/>
  <c r="N154" i="204" s="1"/>
  <c r="J72" i="204"/>
  <c r="L72" i="204" s="1"/>
  <c r="N72" i="204" s="1"/>
  <c r="J98" i="204"/>
  <c r="L98" i="204" s="1"/>
  <c r="N98" i="204" s="1"/>
  <c r="J160" i="204"/>
  <c r="L160" i="204" s="1"/>
  <c r="N160" i="204" s="1"/>
  <c r="J103" i="204"/>
  <c r="L103" i="204" s="1"/>
  <c r="N103" i="204" s="1"/>
  <c r="J142" i="204"/>
  <c r="L142" i="204" s="1"/>
  <c r="N142" i="204" s="1"/>
  <c r="P19" i="215"/>
  <c r="F18" i="215"/>
  <c r="E39" i="211"/>
  <c r="B35" i="204"/>
  <c r="B20" i="204"/>
  <c r="E16" i="216"/>
  <c r="R17" i="216" s="1"/>
  <c r="E16" i="215"/>
  <c r="L235" i="204"/>
  <c r="P17" i="215"/>
  <c r="F17" i="215"/>
  <c r="L79" i="204"/>
  <c r="N79" i="204" s="1"/>
  <c r="F18" i="216"/>
  <c r="C23" i="212"/>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F17" i="216"/>
  <c r="H105" i="215"/>
  <c r="I105" i="215" s="1"/>
  <c r="D106" i="215"/>
  <c r="G105" i="215"/>
  <c r="D24" i="223"/>
  <c r="F24" i="223"/>
  <c r="J24" i="223" s="1"/>
  <c r="N24" i="223" s="1"/>
  <c r="H26" i="223" s="1"/>
  <c r="R23" i="223"/>
  <c r="F55" i="216"/>
  <c r="R30" i="216" s="1"/>
  <c r="F55" i="215"/>
  <c r="P29" i="215" s="1"/>
  <c r="F30" i="145"/>
  <c r="H30" i="203"/>
  <c r="L226" i="86"/>
  <c r="L75" i="204" l="1"/>
  <c r="N75" i="204" s="1"/>
  <c r="R24" i="223"/>
  <c r="L156" i="204"/>
  <c r="N156" i="204" s="1"/>
  <c r="L63" i="204"/>
  <c r="L82" i="204"/>
  <c r="N82" i="204" s="1"/>
  <c r="I37" i="208"/>
  <c r="I27" i="208"/>
  <c r="L81" i="204"/>
  <c r="N81" i="204" s="1"/>
  <c r="F71" i="216"/>
  <c r="R32" i="216" s="1"/>
  <c r="F71" i="215"/>
  <c r="H25" i="223"/>
  <c r="B106" i="215"/>
  <c r="B40" i="228"/>
  <c r="B42" i="228"/>
  <c r="B39" i="228"/>
  <c r="B45" i="228" s="1"/>
  <c r="E96" i="204" s="1"/>
  <c r="B44" i="228"/>
  <c r="B43" i="228"/>
  <c r="B41" i="228"/>
  <c r="E147" i="204"/>
  <c r="B78" i="222"/>
  <c r="A67" i="222"/>
  <c r="A68" i="222" s="1"/>
  <c r="A69" i="222" s="1"/>
  <c r="A70" i="222" s="1"/>
  <c r="A71" i="222" s="1"/>
  <c r="A72" i="222" s="1"/>
  <c r="A73" i="222" s="1"/>
  <c r="A74" i="222" s="1"/>
  <c r="A75" i="222" s="1"/>
  <c r="A76" i="222" s="1"/>
  <c r="L238" i="204"/>
  <c r="G169" i="204" s="1"/>
  <c r="H27" i="223"/>
  <c r="P16" i="215"/>
  <c r="F16" i="215"/>
  <c r="E106" i="215"/>
  <c r="F106" i="215" s="1"/>
  <c r="F16" i="216"/>
  <c r="D25" i="223"/>
  <c r="F25" i="223"/>
  <c r="B60" i="211"/>
  <c r="A60" i="211"/>
  <c r="C49" i="208" s="1"/>
  <c r="A26" i="212"/>
  <c r="A27" i="212" s="1"/>
  <c r="A32" i="212" s="1"/>
  <c r="C27" i="212"/>
  <c r="D259" i="204"/>
  <c r="B54" i="204"/>
  <c r="G11" i="203"/>
  <c r="C65" i="203"/>
  <c r="B50" i="203"/>
  <c r="A5" i="203"/>
  <c r="A2" i="203"/>
  <c r="D76" i="203"/>
  <c r="C76" i="203"/>
  <c r="E52" i="203" s="1"/>
  <c r="F75" i="203"/>
  <c r="E74" i="203"/>
  <c r="E73" i="203"/>
  <c r="E72" i="203"/>
  <c r="E71" i="203"/>
  <c r="E70" i="203"/>
  <c r="E69" i="203"/>
  <c r="E68" i="203"/>
  <c r="E67" i="203"/>
  <c r="H42" i="203"/>
  <c r="H43" i="203" s="1"/>
  <c r="H41" i="203"/>
  <c r="H40" i="203"/>
  <c r="H39" i="203"/>
  <c r="H38" i="203"/>
  <c r="H37" i="203"/>
  <c r="H36" i="203"/>
  <c r="H35" i="203"/>
  <c r="H34" i="203"/>
  <c r="H33" i="203"/>
  <c r="H32" i="203"/>
  <c r="H31" i="203"/>
  <c r="L231" i="86"/>
  <c r="L230" i="86"/>
  <c r="L228"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D49" i="74"/>
  <c r="D48" i="74"/>
  <c r="D47" i="74"/>
  <c r="D45" i="74"/>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49" i="74"/>
  <c r="M49" i="74"/>
  <c r="N48" i="74"/>
  <c r="M48" i="74"/>
  <c r="N47" i="74"/>
  <c r="M47" i="74"/>
  <c r="N46" i="74"/>
  <c r="M46"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6" i="74"/>
  <c r="M26" i="74"/>
  <c r="N25" i="74"/>
  <c r="M25" i="74"/>
  <c r="R51" i="74"/>
  <c r="S51" i="74"/>
  <c r="T51" i="74"/>
  <c r="U51" i="74"/>
  <c r="V51" i="74"/>
  <c r="W51" i="74"/>
  <c r="X51" i="74"/>
  <c r="Y51" i="74"/>
  <c r="Z51" i="74"/>
  <c r="AA51" i="74"/>
  <c r="AB51" i="74"/>
  <c r="AC51" i="74"/>
  <c r="Q51" i="74"/>
  <c r="AC23" i="74"/>
  <c r="AB23" i="74"/>
  <c r="AA23" i="74"/>
  <c r="Z23" i="74"/>
  <c r="Y23" i="74"/>
  <c r="X23" i="74"/>
  <c r="W23" i="74"/>
  <c r="V23" i="74"/>
  <c r="U23" i="74"/>
  <c r="T23" i="74"/>
  <c r="S23" i="74"/>
  <c r="R23" i="74"/>
  <c r="Q23" i="74"/>
  <c r="J63" i="204" l="1"/>
  <c r="G26" i="208" s="1"/>
  <c r="N63" i="204"/>
  <c r="J25" i="223"/>
  <c r="N25" i="223" s="1"/>
  <c r="R25" i="223" s="1"/>
  <c r="J178" i="204"/>
  <c r="L178" i="204" s="1"/>
  <c r="J106" i="204"/>
  <c r="L106" i="204" s="1"/>
  <c r="N106" i="204" s="1"/>
  <c r="J145" i="204"/>
  <c r="L145" i="204" s="1"/>
  <c r="N145" i="204" s="1"/>
  <c r="J104" i="204"/>
  <c r="L104" i="204" s="1"/>
  <c r="N104" i="204" s="1"/>
  <c r="J164" i="204"/>
  <c r="L164" i="204" s="1"/>
  <c r="N164" i="204" s="1"/>
  <c r="G24" i="203"/>
  <c r="J162" i="204"/>
  <c r="L162" i="204" s="1"/>
  <c r="N162" i="204" s="1"/>
  <c r="L83" i="204"/>
  <c r="J143" i="204"/>
  <c r="L143" i="204" s="1"/>
  <c r="N143" i="204" s="1"/>
  <c r="I51" i="208"/>
  <c r="I52" i="208" s="1"/>
  <c r="I38" i="208"/>
  <c r="D107" i="215"/>
  <c r="G106" i="215"/>
  <c r="E107" i="215"/>
  <c r="H106" i="215"/>
  <c r="I106" i="215" s="1"/>
  <c r="D26" i="223"/>
  <c r="F26" i="223"/>
  <c r="J26" i="223" s="1"/>
  <c r="N26" i="223" s="1"/>
  <c r="G37" i="208"/>
  <c r="G27" i="208"/>
  <c r="J27" i="208" s="1"/>
  <c r="L88" i="204" s="1"/>
  <c r="N88" i="204" s="1"/>
  <c r="G184" i="204"/>
  <c r="G177" i="204" s="1"/>
  <c r="G182" i="204" s="1"/>
  <c r="G188" i="204" s="1"/>
  <c r="A33" i="212"/>
  <c r="F19" i="216"/>
  <c r="E24" i="216" s="1"/>
  <c r="P31" i="215"/>
  <c r="B55" i="204"/>
  <c r="B56" i="204" s="1"/>
  <c r="F19" i="215"/>
  <c r="E24" i="215" s="1"/>
  <c r="A78" i="222"/>
  <c r="B52" i="222"/>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E235" i="86"/>
  <c r="J83" i="204" l="1"/>
  <c r="N83" i="204"/>
  <c r="F33" i="215"/>
  <c r="P22" i="215" s="1"/>
  <c r="N178" i="204"/>
  <c r="F33" i="216"/>
  <c r="R23" i="216" s="1"/>
  <c r="L109" i="204"/>
  <c r="N109" i="204" s="1"/>
  <c r="L148" i="204"/>
  <c r="L165" i="204"/>
  <c r="N165" i="204" s="1"/>
  <c r="F31" i="216"/>
  <c r="F31" i="215"/>
  <c r="D27" i="223"/>
  <c r="F27" i="223"/>
  <c r="J27" i="223" s="1"/>
  <c r="N27" i="223" s="1"/>
  <c r="H30" i="223" s="1"/>
  <c r="R26" i="223"/>
  <c r="A79" i="222"/>
  <c r="A80" i="222" s="1"/>
  <c r="A81" i="222" s="1"/>
  <c r="A82" i="222" s="1"/>
  <c r="B57" i="204"/>
  <c r="B58" i="204" s="1"/>
  <c r="E206" i="204"/>
  <c r="I38" i="220"/>
  <c r="I41" i="220" s="1"/>
  <c r="I43" i="220" s="1"/>
  <c r="I45" i="220" s="1"/>
  <c r="C48" i="212"/>
  <c r="A34" i="212"/>
  <c r="G51" i="208"/>
  <c r="G38" i="208"/>
  <c r="J38" i="208" s="1"/>
  <c r="L89" i="204" s="1"/>
  <c r="N89" i="204" s="1"/>
  <c r="B107" i="215"/>
  <c r="F107" i="215"/>
  <c r="A50" i="203"/>
  <c r="A51" i="203" s="1"/>
  <c r="A52" i="203" s="1"/>
  <c r="A53" i="203" s="1"/>
  <c r="A54" i="203" s="1"/>
  <c r="A55" i="203" s="1"/>
  <c r="A56" i="203" s="1"/>
  <c r="A57" i="203" s="1"/>
  <c r="A58" i="203" s="1"/>
  <c r="D235" i="86"/>
  <c r="P51" i="74"/>
  <c r="E88" i="203"/>
  <c r="A60" i="203"/>
  <c r="A63" i="203" s="1"/>
  <c r="B58" i="203"/>
  <c r="L150" i="204" l="1"/>
  <c r="N150" i="204" s="1"/>
  <c r="N148" i="204"/>
  <c r="H28" i="223"/>
  <c r="H29" i="223"/>
  <c r="B59" i="204"/>
  <c r="B60" i="204" s="1"/>
  <c r="G63" i="208"/>
  <c r="G64" i="208" s="1"/>
  <c r="J64" i="208" s="1"/>
  <c r="L91" i="204" s="1"/>
  <c r="N91" i="204" s="1"/>
  <c r="G52" i="208"/>
  <c r="J52" i="208" s="1"/>
  <c r="L90" i="204" s="1"/>
  <c r="N90" i="204" s="1"/>
  <c r="I46" i="220"/>
  <c r="I48" i="220" s="1"/>
  <c r="G191" i="204" s="1"/>
  <c r="G193" i="204" s="1"/>
  <c r="B53" i="222"/>
  <c r="A86" i="222"/>
  <c r="A87" i="222" s="1"/>
  <c r="B82" i="222"/>
  <c r="D28" i="223"/>
  <c r="F28" i="223"/>
  <c r="R27" i="223"/>
  <c r="D108" i="215"/>
  <c r="G107" i="215"/>
  <c r="H107" i="215"/>
  <c r="E108" i="215"/>
  <c r="A35" i="212"/>
  <c r="C38" i="212"/>
  <c r="C35" i="212"/>
  <c r="E225" i="86"/>
  <c r="B60" i="203"/>
  <c r="A66" i="203"/>
  <c r="D65" i="203"/>
  <c r="J28" i="223" l="1"/>
  <c r="N28" i="223" s="1"/>
  <c r="L92" i="204"/>
  <c r="N92" i="204" s="1"/>
  <c r="D29" i="223"/>
  <c r="F29" i="223"/>
  <c r="J29" i="223" s="1"/>
  <c r="N29" i="223" s="1"/>
  <c r="R28" i="223"/>
  <c r="A37" i="212"/>
  <c r="C42" i="212"/>
  <c r="I107" i="215"/>
  <c r="F108" i="215"/>
  <c r="B108" i="215"/>
  <c r="B88" i="222"/>
  <c r="A88" i="222"/>
  <c r="E226" i="204"/>
  <c r="B61" i="204"/>
  <c r="B62" i="204" s="1"/>
  <c r="A67" i="203"/>
  <c r="A68" i="203" s="1"/>
  <c r="A69" i="203" s="1"/>
  <c r="A70" i="203" s="1"/>
  <c r="A71" i="203" s="1"/>
  <c r="A72" i="203" s="1"/>
  <c r="A73" i="203" s="1"/>
  <c r="A74" i="203" s="1"/>
  <c r="A75" i="203" s="1"/>
  <c r="A76" i="203" s="1"/>
  <c r="L113" i="204" l="1"/>
  <c r="N113" i="204" s="1"/>
  <c r="H108" i="215"/>
  <c r="D109" i="215"/>
  <c r="G108" i="215"/>
  <c r="E109" i="215"/>
  <c r="B63" i="204"/>
  <c r="B65" i="204" s="1"/>
  <c r="B66" i="204" s="1"/>
  <c r="E63" i="204"/>
  <c r="A38" i="212"/>
  <c r="A39" i="212" s="1"/>
  <c r="A41" i="212" s="1"/>
  <c r="C39" i="212"/>
  <c r="D30" i="223"/>
  <c r="F30" i="223"/>
  <c r="J30" i="223" s="1"/>
  <c r="N30" i="223" s="1"/>
  <c r="R29" i="223"/>
  <c r="B78" i="203"/>
  <c r="A78" i="203"/>
  <c r="B52" i="203"/>
  <c r="E23" i="216" l="1"/>
  <c r="R21" i="216" s="1"/>
  <c r="E23" i="215"/>
  <c r="E25" i="215" s="1"/>
  <c r="F50" i="215" s="1"/>
  <c r="L184" i="204"/>
  <c r="N184" i="204" s="1"/>
  <c r="A42" i="212"/>
  <c r="A43" i="212" s="1"/>
  <c r="A47" i="212" s="1"/>
  <c r="C43" i="212"/>
  <c r="B67" i="204"/>
  <c r="B68" i="204" s="1"/>
  <c r="E78" i="204"/>
  <c r="F109" i="215"/>
  <c r="B109" i="215"/>
  <c r="H34" i="223"/>
  <c r="H35" i="223"/>
  <c r="H33" i="223"/>
  <c r="F33" i="223"/>
  <c r="R30" i="223"/>
  <c r="I108" i="215"/>
  <c r="A79" i="203"/>
  <c r="A80" i="203" s="1"/>
  <c r="A81" i="203" s="1"/>
  <c r="A82" i="203" s="1"/>
  <c r="A86" i="203" s="1"/>
  <c r="E25" i="216" l="1"/>
  <c r="F29" i="216" s="1"/>
  <c r="F32" i="216" s="1"/>
  <c r="F36" i="216" s="1"/>
  <c r="F51" i="216" s="1"/>
  <c r="P20" i="215"/>
  <c r="F43" i="215"/>
  <c r="P26" i="215" s="1"/>
  <c r="F29" i="215"/>
  <c r="F32" i="215" s="1"/>
  <c r="F36" i="215" s="1"/>
  <c r="F51" i="215" s="1"/>
  <c r="F43" i="216"/>
  <c r="R27" i="216" s="1"/>
  <c r="F50" i="216"/>
  <c r="L177" i="204"/>
  <c r="N177" i="204" s="1"/>
  <c r="D110" i="215"/>
  <c r="H109" i="215"/>
  <c r="G109" i="215"/>
  <c r="B69" i="204"/>
  <c r="B70" i="204" s="1"/>
  <c r="E79" i="204"/>
  <c r="J33" i="223"/>
  <c r="N33" i="223" s="1"/>
  <c r="F34" i="223"/>
  <c r="A48" i="212"/>
  <c r="A49" i="212" s="1"/>
  <c r="E174" i="204" s="1"/>
  <c r="B82" i="203"/>
  <c r="B53" i="203"/>
  <c r="L182" i="204" l="1"/>
  <c r="N182" i="204" s="1"/>
  <c r="B71" i="204"/>
  <c r="B72" i="204" s="1"/>
  <c r="E80" i="204"/>
  <c r="F35" i="223"/>
  <c r="J34" i="223"/>
  <c r="N34" i="223" s="1"/>
  <c r="R34" i="223" s="1"/>
  <c r="R33" i="223"/>
  <c r="C49" i="212"/>
  <c r="I109" i="215"/>
  <c r="B110" i="215"/>
  <c r="E110" i="215"/>
  <c r="F110" i="215" s="1"/>
  <c r="H215" i="86"/>
  <c r="H214" i="86"/>
  <c r="L214" i="86"/>
  <c r="G156" i="86"/>
  <c r="F44" i="216" l="1"/>
  <c r="R28" i="216" s="1"/>
  <c r="F44" i="215"/>
  <c r="P27" i="215" s="1"/>
  <c r="L188" i="204"/>
  <c r="N188" i="204" s="1"/>
  <c r="H110" i="215"/>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K38" i="220" l="1"/>
  <c r="K41" i="220" s="1"/>
  <c r="K43" i="220" s="1"/>
  <c r="K45" i="220" s="1"/>
  <c r="K46" i="220" s="1"/>
  <c r="K48" i="220" s="1"/>
  <c r="L191" i="204" s="1"/>
  <c r="N191" i="204" s="1"/>
  <c r="B75" i="204"/>
  <c r="B77" i="204" s="1"/>
  <c r="B78" i="204" s="1"/>
  <c r="E82" i="204"/>
  <c r="E75" i="204"/>
  <c r="H36" i="223"/>
  <c r="J36" i="223" s="1"/>
  <c r="N36" i="223" s="1"/>
  <c r="R36" i="223" s="1"/>
  <c r="H37" i="223"/>
  <c r="F111" i="215"/>
  <c r="B111" i="215"/>
  <c r="R35" i="223"/>
  <c r="F37" i="223"/>
  <c r="I110" i="215"/>
  <c r="B32" i="196"/>
  <c r="B22" i="196"/>
  <c r="N21" i="196"/>
  <c r="B23" i="196"/>
  <c r="J12" i="196"/>
  <c r="B39" i="196" s="1"/>
  <c r="B40" i="196"/>
  <c r="B21" i="196"/>
  <c r="B24" i="196"/>
  <c r="B25" i="196"/>
  <c r="B26" i="196"/>
  <c r="B27" i="196"/>
  <c r="B28" i="196"/>
  <c r="B29" i="196"/>
  <c r="B30" i="196"/>
  <c r="B31" i="196"/>
  <c r="D34" i="193"/>
  <c r="D33" i="193"/>
  <c r="D48" i="193" s="1"/>
  <c r="D32" i="193"/>
  <c r="D18" i="193"/>
  <c r="D15" i="193"/>
  <c r="G42" i="193"/>
  <c r="G43" i="193" s="1"/>
  <c r="G38" i="193"/>
  <c r="G39" i="193" s="1"/>
  <c r="F38" i="193"/>
  <c r="F39" i="193" s="1"/>
  <c r="I22" i="193"/>
  <c r="I23" i="193" s="1"/>
  <c r="H22" i="193"/>
  <c r="H23" i="193" s="1"/>
  <c r="F22" i="193"/>
  <c r="K45" i="90" s="1"/>
  <c r="G22" i="193"/>
  <c r="K93" i="90" s="1"/>
  <c r="E38" i="193"/>
  <c r="K44" i="90" s="1"/>
  <c r="E23" i="193"/>
  <c r="F21" i="193"/>
  <c r="D37" i="193"/>
  <c r="E35" i="193"/>
  <c r="F35" i="193"/>
  <c r="F42" i="193" s="1"/>
  <c r="F43" i="193" s="1"/>
  <c r="F45" i="216" l="1"/>
  <c r="R29" i="216" s="1"/>
  <c r="F45" i="215"/>
  <c r="P28" i="215" s="1"/>
  <c r="L193" i="204"/>
  <c r="N193" i="204" s="1"/>
  <c r="D35" i="193"/>
  <c r="E42" i="193"/>
  <c r="B36" i="196"/>
  <c r="B35" i="196"/>
  <c r="J37" i="223"/>
  <c r="N37" i="223" s="1"/>
  <c r="F38" i="223"/>
  <c r="B79" i="204"/>
  <c r="H111" i="215"/>
  <c r="D112" i="215"/>
  <c r="G111" i="215"/>
  <c r="E112" i="215"/>
  <c r="J13" i="196"/>
  <c r="B38" i="196"/>
  <c r="B11" i="196"/>
  <c r="G23" i="193"/>
  <c r="J93" i="90" s="1"/>
  <c r="B37" i="196"/>
  <c r="D22" i="193"/>
  <c r="D21" i="193"/>
  <c r="D38" i="193"/>
  <c r="E39" i="193"/>
  <c r="F23" i="193"/>
  <c r="F42" i="215" l="1"/>
  <c r="F42" i="216"/>
  <c r="L12" i="204"/>
  <c r="N12" i="204" s="1"/>
  <c r="C71" i="216"/>
  <c r="S32" i="216" s="1"/>
  <c r="C71" i="215"/>
  <c r="Q31" i="215" s="1"/>
  <c r="B80" i="204"/>
  <c r="B81" i="204" s="1"/>
  <c r="B82" i="204" s="1"/>
  <c r="E26" i="204"/>
  <c r="B112" i="215"/>
  <c r="F112" i="215"/>
  <c r="F39" i="223"/>
  <c r="J38" i="223"/>
  <c r="N38" i="223" s="1"/>
  <c r="H41" i="223" s="1"/>
  <c r="I111" i="215"/>
  <c r="R37" i="223"/>
  <c r="J44" i="90"/>
  <c r="D39" i="193"/>
  <c r="J45" i="90"/>
  <c r="D23" i="193"/>
  <c r="D42" i="193"/>
  <c r="R38" i="223" l="1"/>
  <c r="M14" i="147"/>
  <c r="L26" i="204"/>
  <c r="N26" i="204" s="1"/>
  <c r="L18" i="204"/>
  <c r="N18" i="204" s="1"/>
  <c r="L33" i="204"/>
  <c r="N33" i="204" s="1"/>
  <c r="L30" i="204"/>
  <c r="N30" i="204" s="1"/>
  <c r="F46" i="215"/>
  <c r="F49" i="215" s="1"/>
  <c r="F52" i="215" s="1"/>
  <c r="F59" i="215" s="1"/>
  <c r="F62" i="215" s="1"/>
  <c r="F64" i="215" s="1"/>
  <c r="F66" i="215" s="1"/>
  <c r="F67" i="215" s="1"/>
  <c r="F68" i="215" s="1"/>
  <c r="F53" i="215" s="1"/>
  <c r="F54" i="215" s="1"/>
  <c r="P25" i="215"/>
  <c r="R26" i="216"/>
  <c r="F46" i="216"/>
  <c r="F49" i="216" s="1"/>
  <c r="F52" i="216" s="1"/>
  <c r="F59" i="216" s="1"/>
  <c r="F62" i="216" s="1"/>
  <c r="F64" i="216" s="1"/>
  <c r="F66" i="216" s="1"/>
  <c r="F67" i="216" s="1"/>
  <c r="F68" i="216" s="1"/>
  <c r="F53" i="216" s="1"/>
  <c r="F54" i="216" s="1"/>
  <c r="H39" i="223"/>
  <c r="J39" i="223" s="1"/>
  <c r="N39" i="223" s="1"/>
  <c r="H112" i="215"/>
  <c r="G112" i="215"/>
  <c r="D113" i="215"/>
  <c r="E113" i="215"/>
  <c r="F40" i="223"/>
  <c r="B83" i="204"/>
  <c r="E83" i="204"/>
  <c r="H40" i="223"/>
  <c r="A87" i="203"/>
  <c r="I17" i="193"/>
  <c r="I19" i="193" s="1"/>
  <c r="I26" i="193" s="1"/>
  <c r="I27" i="193" s="1"/>
  <c r="H17" i="193"/>
  <c r="H19" i="193" s="1"/>
  <c r="H26" i="193" s="1"/>
  <c r="H27" i="193" s="1"/>
  <c r="F77" i="216" l="1"/>
  <c r="J100" i="216" s="1"/>
  <c r="J101" i="216" s="1"/>
  <c r="F77" i="215"/>
  <c r="L27" i="204"/>
  <c r="N27" i="204" s="1"/>
  <c r="F56" i="215"/>
  <c r="F75" i="215" s="1"/>
  <c r="F76" i="215" s="1"/>
  <c r="F72" i="215"/>
  <c r="F73" i="215" s="1"/>
  <c r="F56" i="216"/>
  <c r="F75" i="216" s="1"/>
  <c r="F76" i="216" s="1"/>
  <c r="F72" i="216"/>
  <c r="F73" i="216" s="1"/>
  <c r="B113" i="215"/>
  <c r="F113" i="215"/>
  <c r="R39" i="223"/>
  <c r="B86" i="204"/>
  <c r="B87" i="204" s="1"/>
  <c r="I112" i="215"/>
  <c r="F41" i="223"/>
  <c r="J40" i="223"/>
  <c r="N40" i="223" s="1"/>
  <c r="B88" i="203"/>
  <c r="E226" i="86"/>
  <c r="A88" i="203"/>
  <c r="G17" i="193"/>
  <c r="G19" i="193" s="1"/>
  <c r="G26" i="193" s="1"/>
  <c r="F17" i="193"/>
  <c r="F19" i="193" s="1"/>
  <c r="F26" i="193" s="1"/>
  <c r="E17" i="193"/>
  <c r="F78" i="215" l="1"/>
  <c r="P32" i="215"/>
  <c r="I99" i="215"/>
  <c r="F78" i="216"/>
  <c r="R33" i="216"/>
  <c r="J41" i="223"/>
  <c r="N41" i="223" s="1"/>
  <c r="H42" i="223" s="1"/>
  <c r="F42" i="223"/>
  <c r="R40" i="223"/>
  <c r="H113" i="215"/>
  <c r="I113" i="215" s="1"/>
  <c r="D114" i="215"/>
  <c r="G113" i="215"/>
  <c r="B88" i="204"/>
  <c r="B89" i="204" s="1"/>
  <c r="B90" i="204" s="1"/>
  <c r="B91" i="204" s="1"/>
  <c r="B92" i="204" s="1"/>
  <c r="E19" i="193"/>
  <c r="D17" i="193"/>
  <c r="G104" i="215" l="1"/>
  <c r="I100" i="215"/>
  <c r="H104" i="215" s="1"/>
  <c r="I104" i="215" s="1"/>
  <c r="H43" i="223"/>
  <c r="D47" i="193"/>
  <c r="D49" i="193" s="1"/>
  <c r="N174" i="86" s="1"/>
  <c r="B114" i="215"/>
  <c r="F43" i="223"/>
  <c r="J42" i="223"/>
  <c r="N42" i="223" s="1"/>
  <c r="R42" i="223" s="1"/>
  <c r="B94" i="204"/>
  <c r="B96" i="204" s="1"/>
  <c r="B98" i="204" s="1"/>
  <c r="B100" i="204" s="1"/>
  <c r="B101" i="204" s="1"/>
  <c r="R41" i="223"/>
  <c r="H44" i="223"/>
  <c r="E92" i="204"/>
  <c r="E114" i="215"/>
  <c r="F114" i="215" s="1"/>
  <c r="E26" i="193"/>
  <c r="D19" i="193"/>
  <c r="B6" i="193"/>
  <c r="B3" i="193"/>
  <c r="D115" i="215" l="1"/>
  <c r="G114" i="215"/>
  <c r="E115" i="215"/>
  <c r="H114" i="215"/>
  <c r="B102" i="204"/>
  <c r="B103" i="204" s="1"/>
  <c r="B104" i="204" s="1"/>
  <c r="B105" i="204" s="1"/>
  <c r="B106" i="204" s="1"/>
  <c r="B107" i="204" s="1"/>
  <c r="B108" i="204" s="1"/>
  <c r="B109" i="204" s="1"/>
  <c r="B111" i="204" s="1"/>
  <c r="B113" i="204" s="1"/>
  <c r="J43" i="223"/>
  <c r="N43" i="223" s="1"/>
  <c r="R43" i="223" s="1"/>
  <c r="F44" i="223"/>
  <c r="E27" i="193"/>
  <c r="D26" i="193"/>
  <c r="J44" i="223" l="1"/>
  <c r="N44" i="223" s="1"/>
  <c r="R44" i="223" s="1"/>
  <c r="F48" i="223"/>
  <c r="E109" i="204"/>
  <c r="I114" i="215"/>
  <c r="C23" i="216"/>
  <c r="S21" i="216" s="1"/>
  <c r="C23" i="215"/>
  <c r="Q20" i="215" s="1"/>
  <c r="B128" i="204"/>
  <c r="D113" i="204"/>
  <c r="B115" i="215"/>
  <c r="F115" i="215"/>
  <c r="H50" i="223" l="1"/>
  <c r="H49" i="223"/>
  <c r="H48" i="223"/>
  <c r="J48" i="223" s="1"/>
  <c r="N48" i="223" s="1"/>
  <c r="D116" i="215"/>
  <c r="E116" i="215" s="1"/>
  <c r="G115" i="215"/>
  <c r="H115" i="215"/>
  <c r="B129" i="204"/>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6" i="193"/>
  <c r="A17" i="193" s="1"/>
  <c r="C47"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78" i="204"/>
  <c r="B130" i="204"/>
  <c r="I115" i="215"/>
  <c r="F116" i="215"/>
  <c r="B116" i="215"/>
  <c r="A18" i="193"/>
  <c r="A19" i="193" s="1"/>
  <c r="C17" i="193"/>
  <c r="H53" i="223" l="1"/>
  <c r="H56" i="223" s="1"/>
  <c r="H51" i="223"/>
  <c r="H52" i="223"/>
  <c r="B131" i="204"/>
  <c r="B132" i="204" s="1"/>
  <c r="B133" i="204" s="1"/>
  <c r="B134" i="204" s="1"/>
  <c r="H116" i="215"/>
  <c r="D117" i="215"/>
  <c r="G116" i="215"/>
  <c r="F219" i="86"/>
  <c r="A21" i="193"/>
  <c r="A22" i="193" s="1"/>
  <c r="A23" i="193" s="1"/>
  <c r="C22" i="193"/>
  <c r="C26" i="193"/>
  <c r="C19" i="193"/>
  <c r="E134" i="204" l="1"/>
  <c r="H54" i="223"/>
  <c r="H55" i="223"/>
  <c r="I116" i="215"/>
  <c r="B117" i="215"/>
  <c r="B136" i="204"/>
  <c r="E101" i="204"/>
  <c r="D272" i="204"/>
  <c r="H59" i="223"/>
  <c r="H58" i="223"/>
  <c r="H57" i="223"/>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39" i="190"/>
  <c r="B45" i="190" s="1"/>
  <c r="B42" i="190"/>
  <c r="B44" i="190"/>
  <c r="B40" i="190"/>
  <c r="B43" i="190"/>
  <c r="A5" i="190"/>
  <c r="A2" i="190"/>
  <c r="I33" i="190"/>
  <c r="G147" i="86" s="1"/>
  <c r="I28" i="190"/>
  <c r="G141" i="86" s="1"/>
  <c r="I23" i="190"/>
  <c r="G133" i="86" s="1"/>
  <c r="I16" i="190"/>
  <c r="G131" i="86" s="1"/>
  <c r="C55" i="216" l="1"/>
  <c r="S30" i="216" s="1"/>
  <c r="C82" i="215"/>
  <c r="Q34" i="215" s="1"/>
  <c r="C82" i="216"/>
  <c r="S35" i="216" s="1"/>
  <c r="C55" i="215"/>
  <c r="Q29" i="215" s="1"/>
  <c r="E30" i="204"/>
  <c r="B154" i="204"/>
  <c r="B155" i="204" s="1"/>
  <c r="B156" i="204" s="1"/>
  <c r="B120" i="215"/>
  <c r="F120" i="215"/>
  <c r="I119" i="215"/>
  <c r="B41" i="190"/>
  <c r="A48" i="193"/>
  <c r="A49" i="193" s="1"/>
  <c r="E174" i="86" s="1"/>
  <c r="C43" i="193"/>
  <c r="N47" i="90"/>
  <c r="M47" i="90"/>
  <c r="L47" i="90"/>
  <c r="K47" i="90"/>
  <c r="J47" i="90"/>
  <c r="H53" i="186"/>
  <c r="G53" i="186"/>
  <c r="I48" i="186"/>
  <c r="H48" i="186"/>
  <c r="G48" i="186"/>
  <c r="E156" i="204" l="1"/>
  <c r="H120" i="215"/>
  <c r="G120" i="215"/>
  <c r="D121" i="215"/>
  <c r="E121" i="215"/>
  <c r="B158" i="204"/>
  <c r="B159" i="204" s="1"/>
  <c r="B160" i="204" s="1"/>
  <c r="C49" i="193"/>
  <c r="H50" i="90"/>
  <c r="H12" i="145" s="1"/>
  <c r="I53" i="186"/>
  <c r="G94" i="86" s="1"/>
  <c r="L94" i="86" s="1"/>
  <c r="B161" i="204" l="1"/>
  <c r="B162" i="204" s="1"/>
  <c r="B163" i="204" s="1"/>
  <c r="B164" i="204" s="1"/>
  <c r="B165" i="204" s="1"/>
  <c r="B121" i="215"/>
  <c r="F121" i="215"/>
  <c r="I120" i="215"/>
  <c r="H15" i="189"/>
  <c r="H14" i="189"/>
  <c r="H12"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H16" i="189" l="1"/>
  <c r="G56" i="86"/>
  <c r="F81" i="129"/>
  <c r="F81" i="143"/>
  <c r="B167" i="204"/>
  <c r="B168" i="204" s="1"/>
  <c r="H121" i="215"/>
  <c r="D122" i="215"/>
  <c r="G121" i="215"/>
  <c r="E122" i="215"/>
  <c r="E165" i="204"/>
  <c r="G46" i="188"/>
  <c r="L68" i="86" s="1"/>
  <c r="N68" i="86" s="1"/>
  <c r="G68" i="86"/>
  <c r="E71" i="86"/>
  <c r="E70" i="86"/>
  <c r="A31" i="188"/>
  <c r="A32" i="188" s="1"/>
  <c r="A33" i="188" s="1"/>
  <c r="A34" i="188" s="1"/>
  <c r="A35" i="188" s="1"/>
  <c r="A36" i="188" s="1"/>
  <c r="A37" i="188" s="1"/>
  <c r="A38" i="188" s="1"/>
  <c r="A39" i="188" s="1"/>
  <c r="A40" i="188" s="1"/>
  <c r="A41" i="188" s="1"/>
  <c r="A42" i="188" s="1"/>
  <c r="A43" i="188" s="1"/>
  <c r="A44" i="188" s="1"/>
  <c r="E69" i="86"/>
  <c r="G98" i="86"/>
  <c r="A5" i="39"/>
  <c r="A5" i="186"/>
  <c r="A3" i="186"/>
  <c r="A2" i="186"/>
  <c r="L207" i="86"/>
  <c r="L208" i="86"/>
  <c r="G55" i="86"/>
  <c r="G54" i="86"/>
  <c r="A12" i="186"/>
  <c r="A13" i="186" s="1"/>
  <c r="A14" i="186" s="1"/>
  <c r="A15" i="186" s="1"/>
  <c r="A16" i="186" s="1"/>
  <c r="A17" i="186" s="1"/>
  <c r="A18" i="186" s="1"/>
  <c r="A19" i="186" s="1"/>
  <c r="A20" i="186" s="1"/>
  <c r="A21" i="186" s="1"/>
  <c r="A22" i="186" s="1"/>
  <c r="A23" i="186" s="1"/>
  <c r="A24" i="186" s="1"/>
  <c r="K29" i="96"/>
  <c r="M29" i="96"/>
  <c r="L28" i="96"/>
  <c r="L27" i="96"/>
  <c r="E46" i="74"/>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J68" i="86" l="1"/>
  <c r="F122" i="215"/>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I122" i="215" s="1"/>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B123" i="215" l="1"/>
  <c r="F123" i="215"/>
  <c r="B173" i="204"/>
  <c r="B174" i="204" s="1"/>
  <c r="B175" i="204" s="1"/>
  <c r="B177" i="204" s="1"/>
  <c r="E180" i="204"/>
  <c r="E61" i="86"/>
  <c r="E60" i="86"/>
  <c r="E62" i="86"/>
  <c r="A52" i="186"/>
  <c r="A51" i="186"/>
  <c r="A50" i="186"/>
  <c r="A53" i="186"/>
  <c r="E94" i="86" s="1"/>
  <c r="B59" i="178"/>
  <c r="B58" i="178"/>
  <c r="B57" i="178"/>
  <c r="B56" i="178"/>
  <c r="B55" i="178"/>
  <c r="B54" i="178"/>
  <c r="B53" i="178"/>
  <c r="B52" i="178"/>
  <c r="B51" i="178"/>
  <c r="B50" i="178"/>
  <c r="B49" i="178"/>
  <c r="B48" i="178"/>
  <c r="E178" i="204" l="1"/>
  <c r="E179" i="204"/>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F126" i="215"/>
  <c r="C43" i="216"/>
  <c r="S27" i="216" s="1"/>
  <c r="C43" i="215"/>
  <c r="Q26" i="215" s="1"/>
  <c r="B186" i="204"/>
  <c r="E177" i="204"/>
  <c r="D189" i="204"/>
  <c r="E126" i="215"/>
  <c r="D276" i="204" l="1"/>
  <c r="B188" i="204"/>
  <c r="H126" i="215"/>
  <c r="D127" i="215"/>
  <c r="G126" i="215"/>
  <c r="E127"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D237" i="204" s="1"/>
  <c r="B234" i="204" l="1"/>
  <c r="B235" i="204" s="1"/>
  <c r="E232" i="204"/>
  <c r="B131" i="215"/>
  <c r="F131" i="215"/>
  <c r="D132" i="215" l="1"/>
  <c r="G131" i="215"/>
  <c r="H131" i="215"/>
  <c r="I131" i="215" s="1"/>
  <c r="E132" i="215"/>
  <c r="B236" i="204"/>
  <c r="D314" i="204" s="1"/>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A15" i="189" s="1"/>
  <c r="A16" i="189" s="1"/>
  <c r="E98" i="86" s="1"/>
  <c r="H135" i="215"/>
  <c r="D136" i="215"/>
  <c r="G135" i="215"/>
  <c r="E136" i="215"/>
  <c r="B136" i="215" l="1"/>
  <c r="F136" i="215"/>
  <c r="I135" i="215"/>
  <c r="H136" i="215" l="1"/>
  <c r="G136" i="215"/>
  <c r="D137" i="215"/>
  <c r="E137" i="215"/>
  <c r="B137" i="215" l="1"/>
  <c r="F137" i="215"/>
  <c r="I136" i="215"/>
  <c r="H137" i="215" l="1"/>
  <c r="D138" i="215"/>
  <c r="G137" i="215"/>
  <c r="E138" i="215"/>
  <c r="J49" i="90"/>
  <c r="K49" i="90"/>
  <c r="L49" i="90"/>
  <c r="M49" i="90"/>
  <c r="N49" i="90"/>
  <c r="D39" i="39"/>
  <c r="G140" i="86" s="1"/>
  <c r="E32" i="39"/>
  <c r="M46" i="96"/>
  <c r="L20" i="96"/>
  <c r="L19" i="96"/>
  <c r="L18" i="96"/>
  <c r="L14" i="96"/>
  <c r="L12" i="96"/>
  <c r="G82" i="86"/>
  <c r="L59" i="86"/>
  <c r="L216" i="86"/>
  <c r="P34" i="143"/>
  <c r="G25" i="147"/>
  <c r="G24" i="147"/>
  <c r="M26" i="147"/>
  <c r="M42" i="90"/>
  <c r="K42" i="90"/>
  <c r="N51" i="139"/>
  <c r="M51" i="139"/>
  <c r="L51" i="139"/>
  <c r="K51" i="139"/>
  <c r="J51" i="139"/>
  <c r="N50" i="139"/>
  <c r="M50" i="139"/>
  <c r="L50" i="139"/>
  <c r="K50" i="139"/>
  <c r="J50" i="139"/>
  <c r="N44" i="139"/>
  <c r="M44" i="139"/>
  <c r="K44" i="139"/>
  <c r="J44" i="139"/>
  <c r="N99" i="139"/>
  <c r="M99" i="139"/>
  <c r="L99" i="139"/>
  <c r="K99" i="139"/>
  <c r="J99" i="139"/>
  <c r="N98" i="139"/>
  <c r="M98" i="139"/>
  <c r="K98" i="139"/>
  <c r="J98" i="139"/>
  <c r="N93" i="139"/>
  <c r="M93" i="139"/>
  <c r="L93" i="139"/>
  <c r="H49" i="74"/>
  <c r="F49" i="74"/>
  <c r="H48" i="74"/>
  <c r="H29" i="74"/>
  <c r="H28" i="74"/>
  <c r="H27" i="74"/>
  <c r="H26" i="74"/>
  <c r="H25" i="74"/>
  <c r="J41" i="74"/>
  <c r="J40" i="74"/>
  <c r="J39" i="74"/>
  <c r="J38" i="74"/>
  <c r="E37" i="74"/>
  <c r="E32" i="74"/>
  <c r="J43" i="74"/>
  <c r="E44" i="74"/>
  <c r="J42" i="74"/>
  <c r="J45" i="74"/>
  <c r="E36" i="74"/>
  <c r="E34" i="74"/>
  <c r="E33" i="74"/>
  <c r="I31" i="74"/>
  <c r="J30" i="74"/>
  <c r="E29" i="74"/>
  <c r="E28" i="74"/>
  <c r="B16" i="147"/>
  <c r="B18" i="147" s="1"/>
  <c r="B20" i="147" s="1"/>
  <c r="B22" i="147" s="1"/>
  <c r="B23" i="147" s="1"/>
  <c r="B24" i="147" s="1"/>
  <c r="B25" i="147" s="1"/>
  <c r="B26" i="147" s="1"/>
  <c r="M16" i="78"/>
  <c r="N11" i="90"/>
  <c r="M11" i="90"/>
  <c r="L11" i="90"/>
  <c r="K11" i="90"/>
  <c r="J11" i="90"/>
  <c r="N12" i="139"/>
  <c r="J12" i="139"/>
  <c r="M12" i="139"/>
  <c r="K12" i="139"/>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8" i="74"/>
  <c r="N162" i="90"/>
  <c r="M162" i="90"/>
  <c r="L162" i="90"/>
  <c r="K162" i="90"/>
  <c r="J162" i="90"/>
  <c r="N161" i="90"/>
  <c r="M161" i="90"/>
  <c r="L161" i="90"/>
  <c r="K161" i="90"/>
  <c r="J161" i="90"/>
  <c r="N160" i="90"/>
  <c r="M160" i="90"/>
  <c r="L160" i="90"/>
  <c r="K160" i="90"/>
  <c r="J160" i="90"/>
  <c r="N159" i="90"/>
  <c r="M159" i="90"/>
  <c r="L159" i="90"/>
  <c r="K159" i="90"/>
  <c r="J159" i="90"/>
  <c r="N155" i="90"/>
  <c r="M155" i="90"/>
  <c r="L155" i="90"/>
  <c r="K155" i="90"/>
  <c r="J155" i="90"/>
  <c r="N118" i="90"/>
  <c r="M118" i="90"/>
  <c r="L118" i="90"/>
  <c r="K118" i="90"/>
  <c r="J118" i="90"/>
  <c r="N117" i="90"/>
  <c r="M117" i="90"/>
  <c r="L117" i="90"/>
  <c r="K117" i="90"/>
  <c r="J117" i="90"/>
  <c r="N116" i="90"/>
  <c r="M116" i="90"/>
  <c r="L116" i="90"/>
  <c r="K116" i="90"/>
  <c r="J116" i="90"/>
  <c r="N115" i="90"/>
  <c r="M115" i="90"/>
  <c r="L115" i="90"/>
  <c r="K115" i="90"/>
  <c r="J115" i="90"/>
  <c r="N114" i="90"/>
  <c r="M114" i="90"/>
  <c r="L114" i="90"/>
  <c r="K114" i="90"/>
  <c r="J114" i="90"/>
  <c r="N113" i="90"/>
  <c r="M113" i="90"/>
  <c r="L113" i="90"/>
  <c r="K113" i="90"/>
  <c r="J113" i="90"/>
  <c r="N112" i="90"/>
  <c r="M112" i="90"/>
  <c r="L112" i="90"/>
  <c r="K112" i="90"/>
  <c r="J112" i="90"/>
  <c r="N111" i="90"/>
  <c r="M111" i="90"/>
  <c r="L111" i="90"/>
  <c r="K111" i="90"/>
  <c r="J111" i="90"/>
  <c r="N110" i="90"/>
  <c r="M110" i="90"/>
  <c r="L110" i="90"/>
  <c r="K110" i="90"/>
  <c r="J110" i="90"/>
  <c r="N109" i="90"/>
  <c r="M109" i="90"/>
  <c r="L109" i="90"/>
  <c r="K109" i="90"/>
  <c r="J109" i="90"/>
  <c r="N108" i="90"/>
  <c r="M108" i="90"/>
  <c r="L108" i="90"/>
  <c r="K108" i="90"/>
  <c r="J108" i="90"/>
  <c r="N107" i="90"/>
  <c r="M107" i="90"/>
  <c r="L107" i="90"/>
  <c r="K107" i="90"/>
  <c r="J107" i="90"/>
  <c r="N106" i="90"/>
  <c r="M106" i="90"/>
  <c r="L106" i="90"/>
  <c r="K106" i="90"/>
  <c r="J106" i="90"/>
  <c r="J164" i="90" s="1"/>
  <c r="E45" i="89" s="1"/>
  <c r="N99" i="90"/>
  <c r="M99" i="90"/>
  <c r="L99" i="90"/>
  <c r="K99" i="90"/>
  <c r="J99" i="90"/>
  <c r="N98" i="90"/>
  <c r="M98" i="90"/>
  <c r="L98" i="90"/>
  <c r="K98" i="90"/>
  <c r="J98" i="90"/>
  <c r="N97" i="90"/>
  <c r="M97" i="90"/>
  <c r="L97" i="90"/>
  <c r="K97" i="90"/>
  <c r="J97" i="90"/>
  <c r="N55" i="90"/>
  <c r="M55" i="90"/>
  <c r="L55" i="90"/>
  <c r="K55" i="90"/>
  <c r="J55" i="90"/>
  <c r="N54" i="90"/>
  <c r="M54" i="90"/>
  <c r="L54" i="90"/>
  <c r="K54" i="90"/>
  <c r="J54" i="90"/>
  <c r="M41" i="90"/>
  <c r="K41" i="90"/>
  <c r="M40" i="90"/>
  <c r="K40" i="90"/>
  <c r="M39" i="90"/>
  <c r="K39" i="90"/>
  <c r="M38" i="90"/>
  <c r="K38" i="90"/>
  <c r="M37" i="90"/>
  <c r="K37" i="90"/>
  <c r="M36" i="90"/>
  <c r="K36" i="90"/>
  <c r="M35" i="90"/>
  <c r="K35" i="90"/>
  <c r="M34" i="90"/>
  <c r="K34" i="90"/>
  <c r="M33" i="90"/>
  <c r="K33" i="90"/>
  <c r="M32" i="90"/>
  <c r="K32" i="90"/>
  <c r="M31" i="90"/>
  <c r="K31" i="90"/>
  <c r="M30" i="90"/>
  <c r="K30" i="90"/>
  <c r="M29" i="90"/>
  <c r="K29" i="90"/>
  <c r="N27" i="90"/>
  <c r="M27" i="90"/>
  <c r="L27" i="90"/>
  <c r="K27" i="90"/>
  <c r="J27" i="90"/>
  <c r="N26" i="90"/>
  <c r="M26" i="90"/>
  <c r="L26" i="90"/>
  <c r="K26" i="90"/>
  <c r="J26" i="90"/>
  <c r="N25" i="90"/>
  <c r="M25" i="90"/>
  <c r="L25" i="90"/>
  <c r="K25" i="90"/>
  <c r="J25" i="90"/>
  <c r="N24" i="90"/>
  <c r="M24" i="90"/>
  <c r="L24" i="90"/>
  <c r="K24" i="90"/>
  <c r="J24" i="90"/>
  <c r="N23" i="90"/>
  <c r="M23" i="90"/>
  <c r="L23" i="90"/>
  <c r="K23" i="90"/>
  <c r="J23" i="90"/>
  <c r="N22" i="90"/>
  <c r="M22" i="90"/>
  <c r="L22" i="90"/>
  <c r="K22" i="90"/>
  <c r="J22" i="90"/>
  <c r="N21" i="90"/>
  <c r="M21" i="90"/>
  <c r="L21" i="90"/>
  <c r="K21" i="90"/>
  <c r="J21" i="90"/>
  <c r="N20" i="90"/>
  <c r="M20" i="90"/>
  <c r="L20" i="90"/>
  <c r="K20" i="90"/>
  <c r="J20" i="90"/>
  <c r="N19" i="90"/>
  <c r="M19" i="90"/>
  <c r="L19" i="90"/>
  <c r="K19" i="90"/>
  <c r="J19" i="90"/>
  <c r="N18" i="90"/>
  <c r="M18" i="90"/>
  <c r="L18" i="90"/>
  <c r="K18" i="90"/>
  <c r="J18" i="90"/>
  <c r="N17" i="90"/>
  <c r="M17" i="90"/>
  <c r="L17" i="90"/>
  <c r="K17" i="90"/>
  <c r="J17" i="90"/>
  <c r="N16" i="90"/>
  <c r="M16" i="90"/>
  <c r="L16" i="90"/>
  <c r="K16" i="90"/>
  <c r="J16" i="90"/>
  <c r="N15" i="90"/>
  <c r="M15" i="90"/>
  <c r="L15" i="90"/>
  <c r="K15" i="90"/>
  <c r="J15" i="90"/>
  <c r="N14" i="90"/>
  <c r="M14" i="90"/>
  <c r="L14" i="90"/>
  <c r="K14" i="90"/>
  <c r="J14" i="90"/>
  <c r="N13" i="90"/>
  <c r="M13" i="90"/>
  <c r="L13" i="90"/>
  <c r="K13" i="90"/>
  <c r="J13" i="90"/>
  <c r="N12" i="90"/>
  <c r="M12" i="90"/>
  <c r="L12" i="90"/>
  <c r="K12" i="90"/>
  <c r="J12" i="90"/>
  <c r="N10" i="90"/>
  <c r="M10" i="90"/>
  <c r="L10" i="90"/>
  <c r="K10" i="90"/>
  <c r="J10" i="90"/>
  <c r="D20" i="89"/>
  <c r="M43" i="90"/>
  <c r="K43" i="90"/>
  <c r="F26" i="74"/>
  <c r="F27" i="74"/>
  <c r="F28" i="74"/>
  <c r="F29" i="74"/>
  <c r="F25" i="74"/>
  <c r="K150" i="139"/>
  <c r="J148" i="139"/>
  <c r="K141" i="139"/>
  <c r="J138" i="139"/>
  <c r="N133" i="139"/>
  <c r="K131" i="139"/>
  <c r="M130" i="139"/>
  <c r="M129" i="139"/>
  <c r="M128" i="139"/>
  <c r="N128" i="139"/>
  <c r="L122" i="139"/>
  <c r="N122" i="139"/>
  <c r="K120" i="139"/>
  <c r="L120" i="139"/>
  <c r="K119" i="139"/>
  <c r="M117" i="139"/>
  <c r="L116" i="139"/>
  <c r="L61" i="139"/>
  <c r="N61" i="139"/>
  <c r="L43" i="139"/>
  <c r="L39" i="139"/>
  <c r="K36" i="139"/>
  <c r="L34" i="139"/>
  <c r="L24" i="139"/>
  <c r="L21" i="139"/>
  <c r="F39" i="39"/>
  <c r="G146" i="86" s="1"/>
  <c r="L146" i="86" s="1"/>
  <c r="N146" i="86" s="1"/>
  <c r="F23" i="94"/>
  <c r="F19" i="94"/>
  <c r="F15" i="94"/>
  <c r="F11" i="94"/>
  <c r="M29" i="78"/>
  <c r="P48" i="153"/>
  <c r="N48" i="153"/>
  <c r="M48" i="153"/>
  <c r="J48" i="153"/>
  <c r="F48" i="153"/>
  <c r="G43" i="153"/>
  <c r="P43" i="153"/>
  <c r="M43" i="153"/>
  <c r="L43" i="153"/>
  <c r="I43" i="153"/>
  <c r="E43" i="153"/>
  <c r="Q23" i="153"/>
  <c r="S23" i="153" s="1"/>
  <c r="P57" i="153"/>
  <c r="O57" i="153"/>
  <c r="N57" i="153"/>
  <c r="L57" i="153"/>
  <c r="K57" i="153"/>
  <c r="J57" i="153"/>
  <c r="I57" i="153"/>
  <c r="H57" i="153"/>
  <c r="G57" i="153"/>
  <c r="E57" i="153"/>
  <c r="P53" i="153"/>
  <c r="P56" i="153"/>
  <c r="O53" i="153"/>
  <c r="O56" i="153" s="1"/>
  <c r="M53" i="153"/>
  <c r="M56" i="153" s="1"/>
  <c r="L53" i="153"/>
  <c r="K53" i="153"/>
  <c r="K56" i="153" s="1"/>
  <c r="I53" i="153"/>
  <c r="I56" i="153" s="1"/>
  <c r="I58" i="153" s="1"/>
  <c r="H53" i="153"/>
  <c r="H56" i="153" s="1"/>
  <c r="G53" i="153"/>
  <c r="G56" i="153" s="1"/>
  <c r="E53" i="153"/>
  <c r="E56" i="153" s="1"/>
  <c r="Q55" i="153"/>
  <c r="S55" i="153"/>
  <c r="Q54" i="153"/>
  <c r="S54" i="153"/>
  <c r="B25" i="149"/>
  <c r="B14" i="149"/>
  <c r="F6" i="149"/>
  <c r="F6" i="147"/>
  <c r="G14" i="147"/>
  <c r="D28" i="149"/>
  <c r="H20" i="149"/>
  <c r="H17" i="149"/>
  <c r="B16" i="149"/>
  <c r="B17" i="149"/>
  <c r="D36"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L23" i="86" s="1"/>
  <c r="K23" i="147" s="1"/>
  <c r="P14" i="143"/>
  <c r="A89" i="129"/>
  <c r="A88" i="143"/>
  <c r="I98" i="143"/>
  <c r="N159" i="143"/>
  <c r="O159" i="143" s="1"/>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O148" i="143" s="1"/>
  <c r="L148" i="143"/>
  <c r="N147" i="143"/>
  <c r="O147" i="143" s="1"/>
  <c r="L147" i="143"/>
  <c r="N146" i="143"/>
  <c r="L146" i="143"/>
  <c r="N145" i="143"/>
  <c r="L145" i="143"/>
  <c r="N144" i="143"/>
  <c r="L144" i="143"/>
  <c r="N143" i="143"/>
  <c r="O143" i="143" s="1"/>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2" i="39"/>
  <c r="G145" i="86" s="1"/>
  <c r="J100" i="90"/>
  <c r="L100" i="90"/>
  <c r="M100" i="90"/>
  <c r="N100" i="90"/>
  <c r="G21" i="91"/>
  <c r="G132" i="86" s="1"/>
  <c r="G51" i="74"/>
  <c r="D61" i="89"/>
  <c r="D62" i="89" s="1"/>
  <c r="G91" i="86" s="1"/>
  <c r="L101" i="139"/>
  <c r="N101" i="139"/>
  <c r="F37" i="89"/>
  <c r="M101" i="139"/>
  <c r="G59" i="89"/>
  <c r="G61" i="89" s="1"/>
  <c r="G62" i="89" s="1"/>
  <c r="J101" i="139"/>
  <c r="A17" i="39"/>
  <c r="A18" i="39" s="1"/>
  <c r="A16" i="78"/>
  <c r="A19" i="78" s="1"/>
  <c r="A20" i="78" s="1"/>
  <c r="A21" i="78" s="1"/>
  <c r="A24" i="78" s="1"/>
  <c r="A25" i="78" s="1"/>
  <c r="A26" i="78" s="1"/>
  <c r="A29" i="78" s="1"/>
  <c r="A30" i="78" s="1"/>
  <c r="A33" i="78" s="1"/>
  <c r="A34" i="78" s="1"/>
  <c r="A35" i="78" s="1"/>
  <c r="A36" i="78" s="1"/>
  <c r="A37" i="78" s="1"/>
  <c r="A38" i="78" s="1"/>
  <c r="A39" i="78" s="1"/>
  <c r="A40" i="78" s="1"/>
  <c r="A41" i="78" s="1"/>
  <c r="A42" i="78" s="1"/>
  <c r="A43" i="78" s="1"/>
  <c r="A44" i="78" s="1"/>
  <c r="E37" i="89"/>
  <c r="G181" i="78"/>
  <c r="A41" i="94"/>
  <c r="A42" i="94"/>
  <c r="A43" i="94"/>
  <c r="A44" i="94"/>
  <c r="A45" i="94" s="1"/>
  <c r="A46" i="94" s="1"/>
  <c r="A48" i="94" s="1"/>
  <c r="A50" i="94" s="1"/>
  <c r="A51"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0"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164" i="90"/>
  <c r="D45" i="89" s="1"/>
  <c r="H101" i="90"/>
  <c r="D33" i="89" s="1"/>
  <c r="L36" i="139"/>
  <c r="M22" i="139"/>
  <c r="N21" i="139"/>
  <c r="K34" i="139"/>
  <c r="M36" i="139"/>
  <c r="J39" i="139"/>
  <c r="M24" i="139"/>
  <c r="N36" i="139"/>
  <c r="K110" i="139"/>
  <c r="M114" i="139"/>
  <c r="L119" i="139"/>
  <c r="N121" i="139"/>
  <c r="L131" i="139"/>
  <c r="L141" i="139"/>
  <c r="M149" i="139"/>
  <c r="L158" i="139"/>
  <c r="K107" i="139"/>
  <c r="N114" i="139"/>
  <c r="K117" i="139"/>
  <c r="M119" i="139"/>
  <c r="K129" i="139"/>
  <c r="N130" i="139"/>
  <c r="M131" i="139"/>
  <c r="M141" i="139"/>
  <c r="N149" i="139"/>
  <c r="M150" i="139"/>
  <c r="L155" i="139"/>
  <c r="N161" i="139"/>
  <c r="M106" i="139"/>
  <c r="K114" i="139"/>
  <c r="L117" i="139"/>
  <c r="N119" i="139"/>
  <c r="L121" i="139"/>
  <c r="K122" i="139"/>
  <c r="M124" i="139"/>
  <c r="L129" i="139"/>
  <c r="K130" i="139"/>
  <c r="N141" i="139"/>
  <c r="K144" i="139"/>
  <c r="K149" i="139"/>
  <c r="J124" i="139"/>
  <c r="K16" i="139"/>
  <c r="M40" i="139"/>
  <c r="K33" i="139"/>
  <c r="N42" i="139"/>
  <c r="M25" i="139"/>
  <c r="N25" i="139"/>
  <c r="N22" i="139"/>
  <c r="K22" i="139"/>
  <c r="K24" i="139"/>
  <c r="N24" i="139"/>
  <c r="M34" i="139"/>
  <c r="N34" i="139"/>
  <c r="M39" i="139"/>
  <c r="K39" i="139"/>
  <c r="M62" i="139"/>
  <c r="N62" i="139"/>
  <c r="K62" i="139"/>
  <c r="M11" i="139"/>
  <c r="N11" i="139"/>
  <c r="K11" i="139"/>
  <c r="J11" i="139"/>
  <c r="L109" i="139"/>
  <c r="K115" i="139"/>
  <c r="K124" i="139"/>
  <c r="N138" i="139"/>
  <c r="J53" i="153"/>
  <c r="J56" i="153" s="1"/>
  <c r="M41" i="139"/>
  <c r="J41" i="139"/>
  <c r="N28" i="139"/>
  <c r="M107" i="139"/>
  <c r="M122" i="139"/>
  <c r="M144" i="139"/>
  <c r="N144" i="139"/>
  <c r="L144" i="139"/>
  <c r="L62" i="139"/>
  <c r="F61" i="129"/>
  <c r="D51" i="74"/>
  <c r="K32" i="139"/>
  <c r="L130" i="139"/>
  <c r="M133" i="139"/>
  <c r="J133" i="139"/>
  <c r="K133" i="139"/>
  <c r="K158" i="139"/>
  <c r="N158" i="139"/>
  <c r="M158" i="139"/>
  <c r="M43" i="139"/>
  <c r="K43" i="139"/>
  <c r="M120" i="139"/>
  <c r="J120" i="139"/>
  <c r="L57" i="139"/>
  <c r="N43" i="139"/>
  <c r="M37" i="139"/>
  <c r="K125" i="139"/>
  <c r="N35" i="139"/>
  <c r="M35" i="139"/>
  <c r="K35" i="139"/>
  <c r="M116" i="139"/>
  <c r="M61" i="139"/>
  <c r="J116" i="139"/>
  <c r="K116" i="139"/>
  <c r="M156" i="139"/>
  <c r="K156" i="139"/>
  <c r="N156" i="139"/>
  <c r="J37" i="139"/>
  <c r="J125" i="139"/>
  <c r="L35" i="139"/>
  <c r="N40" i="139"/>
  <c r="L114" i="139"/>
  <c r="M108" i="139"/>
  <c r="N108" i="139"/>
  <c r="K108" i="139"/>
  <c r="L108" i="139"/>
  <c r="K15" i="139"/>
  <c r="M15" i="139"/>
  <c r="J15" i="139"/>
  <c r="N15" i="139"/>
  <c r="K18" i="139"/>
  <c r="L18" i="139"/>
  <c r="M18" i="139"/>
  <c r="N20" i="139"/>
  <c r="L123" i="139"/>
  <c r="M123" i="139"/>
  <c r="K123" i="139"/>
  <c r="J123" i="139"/>
  <c r="N53" i="153"/>
  <c r="N56" i="153" s="1"/>
  <c r="N58" i="153" s="1"/>
  <c r="M140" i="139"/>
  <c r="J140" i="139"/>
  <c r="M143" i="139"/>
  <c r="N143" i="139"/>
  <c r="K143" i="139"/>
  <c r="K138" i="139"/>
  <c r="M138" i="139"/>
  <c r="M148" i="139"/>
  <c r="N155" i="139"/>
  <c r="K155" i="139"/>
  <c r="M155" i="139"/>
  <c r="L161" i="139"/>
  <c r="M161" i="139"/>
  <c r="K161" i="139"/>
  <c r="M28" i="139"/>
  <c r="K28" i="139"/>
  <c r="J28" i="139"/>
  <c r="M110" i="139"/>
  <c r="L126" i="139"/>
  <c r="L128" i="139"/>
  <c r="K128" i="139"/>
  <c r="J30" i="139"/>
  <c r="G186" i="86"/>
  <c r="L186" i="86" s="1"/>
  <c r="J22" i="139"/>
  <c r="N117" i="139"/>
  <c r="L56" i="139"/>
  <c r="N129" i="139"/>
  <c r="L149" i="139"/>
  <c r="K142" i="139"/>
  <c r="M142" i="139"/>
  <c r="K145" i="139"/>
  <c r="J142" i="139"/>
  <c r="K19" i="139"/>
  <c r="N19" i="139"/>
  <c r="J19" i="139"/>
  <c r="M19" i="139"/>
  <c r="J26" i="139"/>
  <c r="K26" i="139"/>
  <c r="N31" i="139"/>
  <c r="J31" i="139"/>
  <c r="K31" i="139"/>
  <c r="M31" i="139"/>
  <c r="J38" i="139"/>
  <c r="M38" i="139"/>
  <c r="K38" i="139"/>
  <c r="N38" i="139"/>
  <c r="M139" i="139"/>
  <c r="K139" i="139"/>
  <c r="L139" i="139"/>
  <c r="N139" i="139"/>
  <c r="N146" i="139"/>
  <c r="M146" i="139"/>
  <c r="L146" i="139"/>
  <c r="K146" i="139"/>
  <c r="L150" i="139"/>
  <c r="N150" i="139"/>
  <c r="N26" i="139"/>
  <c r="J20" i="139"/>
  <c r="J27" i="139"/>
  <c r="N32" i="139"/>
  <c r="L32" i="139"/>
  <c r="M32" i="139"/>
  <c r="N56" i="139"/>
  <c r="K56" i="139"/>
  <c r="M56" i="139"/>
  <c r="K59" i="139"/>
  <c r="N59" i="139"/>
  <c r="M59" i="139"/>
  <c r="L59" i="139"/>
  <c r="M125" i="139"/>
  <c r="L125" i="139"/>
  <c r="M136" i="139"/>
  <c r="K136" i="139"/>
  <c r="L136" i="139"/>
  <c r="K140" i="139"/>
  <c r="L140" i="139"/>
  <c r="M26" i="139"/>
  <c r="K61" i="139"/>
  <c r="N142" i="139"/>
  <c r="N136" i="139"/>
  <c r="M13" i="139"/>
  <c r="N13" i="139"/>
  <c r="N17" i="139"/>
  <c r="M17" i="139"/>
  <c r="J17" i="139"/>
  <c r="K17" i="139"/>
  <c r="L159" i="139"/>
  <c r="K159" i="139"/>
  <c r="N159" i="139"/>
  <c r="M159" i="139"/>
  <c r="M57" i="153"/>
  <c r="K14" i="139"/>
  <c r="J14" i="139"/>
  <c r="N14" i="139"/>
  <c r="N18" i="139"/>
  <c r="J40" i="139"/>
  <c r="K40" i="139"/>
  <c r="J115" i="139"/>
  <c r="M115" i="139"/>
  <c r="M126" i="139"/>
  <c r="J126" i="139"/>
  <c r="K148" i="139"/>
  <c r="N148" i="139"/>
  <c r="K126" i="139"/>
  <c r="L115" i="139"/>
  <c r="M14" i="139"/>
  <c r="N106" i="139"/>
  <c r="L106" i="139"/>
  <c r="K106" i="139"/>
  <c r="L110" i="139"/>
  <c r="N110" i="139"/>
  <c r="M127" i="139"/>
  <c r="L156" i="139"/>
  <c r="J25" i="139"/>
  <c r="K25" i="139"/>
  <c r="K37" i="139"/>
  <c r="L37" i="139"/>
  <c r="N41" i="139"/>
  <c r="K41" i="139"/>
  <c r="L107" i="139"/>
  <c r="N107" i="139"/>
  <c r="L132" i="139"/>
  <c r="M132" i="139"/>
  <c r="M21" i="139"/>
  <c r="K21" i="139"/>
  <c r="I40" i="94"/>
  <c r="K40" i="94"/>
  <c r="O43" i="153"/>
  <c r="F43" i="153"/>
  <c r="J43" i="153"/>
  <c r="Q17" i="153"/>
  <c r="S17" i="153" s="1"/>
  <c r="Q19" i="153"/>
  <c r="S19" i="153" s="1"/>
  <c r="Q21" i="153"/>
  <c r="S21" i="153" s="1"/>
  <c r="Q30" i="153"/>
  <c r="S30" i="153" s="1"/>
  <c r="K43" i="153"/>
  <c r="N43" i="153"/>
  <c r="E48" i="153"/>
  <c r="H48" i="153"/>
  <c r="L48" i="153"/>
  <c r="K48" i="153"/>
  <c r="Q16" i="153"/>
  <c r="S16" i="153" s="1"/>
  <c r="N33" i="153"/>
  <c r="N59" i="153" s="1"/>
  <c r="O48" i="153"/>
  <c r="Q14" i="153"/>
  <c r="S14" i="153" s="1"/>
  <c r="L33" i="153"/>
  <c r="L59" i="153" s="1"/>
  <c r="Q15" i="153"/>
  <c r="S15" i="153" s="1"/>
  <c r="Q20" i="153"/>
  <c r="S20" i="153" s="1"/>
  <c r="Q27" i="153"/>
  <c r="S27" i="153" s="1"/>
  <c r="Q31" i="153"/>
  <c r="S31" i="153" s="1"/>
  <c r="I48" i="153"/>
  <c r="F33" i="153"/>
  <c r="F59" i="153" s="1"/>
  <c r="I33" i="153"/>
  <c r="I59" i="153" s="1"/>
  <c r="G33" i="153"/>
  <c r="G59" i="153" s="1"/>
  <c r="Q18" i="153"/>
  <c r="S18" i="153" s="1"/>
  <c r="O33" i="153"/>
  <c r="O59" i="153" s="1"/>
  <c r="Q22" i="153"/>
  <c r="S22" i="153" s="1"/>
  <c r="Q26" i="153"/>
  <c r="S26" i="153" s="1"/>
  <c r="H43" i="153"/>
  <c r="G48" i="153"/>
  <c r="K33" i="153"/>
  <c r="K59" i="153" s="1"/>
  <c r="Q24" i="153"/>
  <c r="S24" i="153" s="1"/>
  <c r="Q25" i="153"/>
  <c r="S25" i="153" s="1"/>
  <c r="Q28" i="153"/>
  <c r="S28" i="153" s="1"/>
  <c r="Q29" i="153"/>
  <c r="S29" i="153" s="1"/>
  <c r="M33" i="153"/>
  <c r="M59" i="153" s="1"/>
  <c r="H33" i="153"/>
  <c r="H59" i="153" s="1"/>
  <c r="F53" i="153"/>
  <c r="F56" i="153" s="1"/>
  <c r="P33" i="153"/>
  <c r="P59" i="153" s="1"/>
  <c r="E33" i="153"/>
  <c r="E59" i="153" s="1"/>
  <c r="F57" i="153"/>
  <c r="J33" i="153"/>
  <c r="J59" i="153" s="1"/>
  <c r="G104" i="86"/>
  <c r="N30" i="139"/>
  <c r="M30" i="139"/>
  <c r="K30" i="139"/>
  <c r="N109" i="139"/>
  <c r="K109" i="139"/>
  <c r="M109" i="139"/>
  <c r="K121" i="139"/>
  <c r="M121" i="139"/>
  <c r="J143" i="139"/>
  <c r="M157" i="139"/>
  <c r="L157" i="139"/>
  <c r="N157" i="139"/>
  <c r="K157" i="139"/>
  <c r="J161" i="139"/>
  <c r="K23" i="139"/>
  <c r="M23" i="139"/>
  <c r="N23" i="139"/>
  <c r="J23" i="139"/>
  <c r="N27" i="139"/>
  <c r="M27" i="139"/>
  <c r="K27" i="139"/>
  <c r="K42" i="139"/>
  <c r="M42" i="139"/>
  <c r="L42" i="139"/>
  <c r="J60" i="139"/>
  <c r="K60" i="139"/>
  <c r="M60" i="139"/>
  <c r="N60" i="139"/>
  <c r="J13" i="139"/>
  <c r="K13" i="139"/>
  <c r="M16" i="139"/>
  <c r="N16" i="139"/>
  <c r="J16" i="139"/>
  <c r="K20" i="139"/>
  <c r="M20" i="139"/>
  <c r="N111" i="139"/>
  <c r="J111" i="139"/>
  <c r="K111" i="139"/>
  <c r="M111" i="139"/>
  <c r="L118" i="139"/>
  <c r="M118" i="139"/>
  <c r="K118" i="139"/>
  <c r="J118" i="139"/>
  <c r="L127" i="139"/>
  <c r="K127" i="139"/>
  <c r="N127" i="139"/>
  <c r="L137" i="139"/>
  <c r="K137" i="139"/>
  <c r="M137" i="139"/>
  <c r="N137" i="139"/>
  <c r="J155" i="139"/>
  <c r="N33" i="139"/>
  <c r="L33" i="139"/>
  <c r="M33" i="139"/>
  <c r="M57" i="139"/>
  <c r="K57" i="139"/>
  <c r="N57" i="139"/>
  <c r="L124" i="139"/>
  <c r="K132" i="139"/>
  <c r="N132" i="139"/>
  <c r="M145" i="139"/>
  <c r="N145" i="139"/>
  <c r="L145" i="139"/>
  <c r="N131" i="139"/>
  <c r="E39" i="39"/>
  <c r="C20" i="52"/>
  <c r="C22" i="52" s="1"/>
  <c r="G103" i="86"/>
  <c r="D32" i="39"/>
  <c r="G139" i="86" s="1"/>
  <c r="H216" i="86"/>
  <c r="K22" i="96"/>
  <c r="H218" i="86"/>
  <c r="L218" i="86"/>
  <c r="G143" i="86"/>
  <c r="L67" i="86"/>
  <c r="O137" i="143"/>
  <c r="O155" i="143"/>
  <c r="D47" i="94"/>
  <c r="B18" i="149"/>
  <c r="B20" i="149" s="1"/>
  <c r="L70" i="86"/>
  <c r="I46" i="78"/>
  <c r="G160" i="86" s="1"/>
  <c r="B22" i="149"/>
  <c r="F22" i="149"/>
  <c r="G219" i="86"/>
  <c r="J15" i="149"/>
  <c r="J18" i="149" s="1"/>
  <c r="J22" i="149" s="1"/>
  <c r="B13" i="196" s="1"/>
  <c r="F13" i="196" s="1"/>
  <c r="D21" i="196" s="1"/>
  <c r="L17" i="96"/>
  <c r="M22" i="96"/>
  <c r="L71" i="86"/>
  <c r="G46" i="78"/>
  <c r="G162" i="86" s="1"/>
  <c r="H217" i="86"/>
  <c r="L217" i="86"/>
  <c r="G138" i="86"/>
  <c r="E46" i="78"/>
  <c r="L18" i="149"/>
  <c r="L22" i="149" s="1"/>
  <c r="B13" i="225" s="1"/>
  <c r="F13" i="225" s="1"/>
  <c r="F13" i="129" l="1"/>
  <c r="E18" i="129" s="1"/>
  <c r="R14" i="129"/>
  <c r="K26" i="147"/>
  <c r="B11" i="178"/>
  <c r="F11" i="178" s="1"/>
  <c r="D21" i="225"/>
  <c r="P44" i="225"/>
  <c r="P44" i="196"/>
  <c r="A20" i="39"/>
  <c r="A21" i="39" s="1"/>
  <c r="A24" i="39" s="1"/>
  <c r="K58" i="153"/>
  <c r="C49" i="78"/>
  <c r="N164" i="90"/>
  <c r="I45" i="89" s="1"/>
  <c r="F58" i="153"/>
  <c r="P58" i="153"/>
  <c r="L164" i="90"/>
  <c r="G45" i="89" s="1"/>
  <c r="M58" i="153"/>
  <c r="J101" i="90"/>
  <c r="E33" i="89" s="1"/>
  <c r="M101" i="90"/>
  <c r="H33" i="89" s="1"/>
  <c r="K101" i="90"/>
  <c r="F33" i="89" s="1"/>
  <c r="N50" i="90"/>
  <c r="I20"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00" i="86" s="1"/>
  <c r="G168" i="86" s="1"/>
  <c r="F30" i="143" s="1"/>
  <c r="P21" i="143" s="1"/>
  <c r="K50" i="90"/>
  <c r="F20" i="89" s="1"/>
  <c r="J50" i="90"/>
  <c r="E20" i="89" s="1"/>
  <c r="O142" i="143"/>
  <c r="O149" i="143"/>
  <c r="O157" i="143"/>
  <c r="Q43" i="153"/>
  <c r="S43" i="153" s="1"/>
  <c r="O58" i="153"/>
  <c r="L101" i="90"/>
  <c r="G33" i="89" s="1"/>
  <c r="M164" i="90"/>
  <c r="H45" i="89" s="1"/>
  <c r="Q48" i="153"/>
  <c r="S48" i="153" s="1"/>
  <c r="O111" i="143"/>
  <c r="O119" i="143"/>
  <c r="O123" i="143"/>
  <c r="O127" i="143"/>
  <c r="O131" i="143"/>
  <c r="O139" i="143"/>
  <c r="K164" i="90"/>
  <c r="F45" i="89" s="1"/>
  <c r="O112" i="143"/>
  <c r="H47" i="145"/>
  <c r="O151" i="143"/>
  <c r="I51" i="74"/>
  <c r="G106" i="86" s="1"/>
  <c r="G107" i="86"/>
  <c r="E51" i="74"/>
  <c r="J51" i="74"/>
  <c r="H219" i="86"/>
  <c r="G16" i="147"/>
  <c r="G134" i="86"/>
  <c r="G101" i="86" s="1"/>
  <c r="J236" i="86"/>
  <c r="M46"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50" i="90"/>
  <c r="H20" i="89" s="1"/>
  <c r="K163" i="139"/>
  <c r="F44" i="89" s="1"/>
  <c r="K102" i="139"/>
  <c r="F32" i="89" s="1"/>
  <c r="M163" i="139"/>
  <c r="H44" i="89" s="1"/>
  <c r="A24" i="89"/>
  <c r="A25" i="89" s="1"/>
  <c r="A26" i="89" s="1"/>
  <c r="A27" i="89" s="1"/>
  <c r="A32" i="89" s="1"/>
  <c r="A33" i="89" s="1"/>
  <c r="A35" i="89" s="1"/>
  <c r="A36" i="89" s="1"/>
  <c r="E88" i="86"/>
  <c r="L66" i="86"/>
  <c r="L55" i="86"/>
  <c r="Q59" i="153"/>
  <c r="S50" i="153" s="1"/>
  <c r="M34" i="147" s="1"/>
  <c r="I34" i="147" s="1"/>
  <c r="K34" i="147" s="1"/>
  <c r="A37" i="153"/>
  <c r="A38" i="153" s="1"/>
  <c r="A39" i="153" s="1"/>
  <c r="A40" i="153" s="1"/>
  <c r="A41" i="153" s="1"/>
  <c r="A42" i="153" s="1"/>
  <c r="A43" i="153" s="1"/>
  <c r="A44" i="153" s="1"/>
  <c r="A45" i="153" s="1"/>
  <c r="A46" i="153" s="1"/>
  <c r="A47" i="153" s="1"/>
  <c r="A48" i="153" s="1"/>
  <c r="A50" i="153" s="1"/>
  <c r="F26" i="149"/>
  <c r="Q33" i="153"/>
  <c r="R15" i="153" s="1"/>
  <c r="J58" i="153"/>
  <c r="H58" i="153"/>
  <c r="G28" i="147"/>
  <c r="B28" i="147"/>
  <c r="B30" i="147" s="1"/>
  <c r="B32" i="147" s="1"/>
  <c r="H15" i="149"/>
  <c r="H18" i="149" s="1"/>
  <c r="H22" i="149" s="1"/>
  <c r="I18" i="147"/>
  <c r="L50" i="90"/>
  <c r="G20" i="89" s="1"/>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R35" i="129"/>
  <c r="B22" i="52"/>
  <c r="C44" i="89"/>
  <c r="I23" i="147"/>
  <c r="I26" i="147" s="1"/>
  <c r="I97" i="143"/>
  <c r="B20" i="52"/>
  <c r="M52" i="96"/>
  <c r="G14" i="86" s="1"/>
  <c r="L14" i="86" s="1"/>
  <c r="P13" i="143"/>
  <c r="B34" i="147"/>
  <c r="B36" i="147" s="1"/>
  <c r="G36" i="147"/>
  <c r="I30" i="147"/>
  <c r="A37" i="89"/>
  <c r="A38" i="89" s="1"/>
  <c r="A44" i="89" s="1"/>
  <c r="A45" i="89" s="1"/>
  <c r="A47" i="89" s="1"/>
  <c r="A48" i="89" s="1"/>
  <c r="R31" i="153"/>
  <c r="E18" i="86"/>
  <c r="B18" i="86"/>
  <c r="S33" i="153"/>
  <c r="H26" i="149" s="1"/>
  <c r="B26" i="149"/>
  <c r="B28" i="149" s="1"/>
  <c r="G32" i="147"/>
  <c r="C33" i="89"/>
  <c r="C45" i="89"/>
  <c r="K52" i="139"/>
  <c r="F19" i="89" s="1"/>
  <c r="G58" i="153"/>
  <c r="L56" i="153"/>
  <c r="L58" i="153" s="1"/>
  <c r="Q53" i="153"/>
  <c r="S53" i="153" s="1"/>
  <c r="O135" i="143"/>
  <c r="O144" i="143"/>
  <c r="Q57" i="153"/>
  <c r="S57" i="153" s="1"/>
  <c r="E58" i="153"/>
  <c r="N101" i="90"/>
  <c r="I33" i="89" s="1"/>
  <c r="K46" i="78"/>
  <c r="G164" i="86" s="1"/>
  <c r="M52" i="139"/>
  <c r="H19" i="89" s="1"/>
  <c r="L58" i="86"/>
  <c r="L80" i="86" s="1"/>
  <c r="G80" i="86"/>
  <c r="G81" i="86"/>
  <c r="G75" i="86"/>
  <c r="F83" i="143"/>
  <c r="F84" i="143" s="1"/>
  <c r="F85" i="143" s="1"/>
  <c r="L206" i="86"/>
  <c r="L209" i="86" s="1"/>
  <c r="L56" i="86" s="1"/>
  <c r="N56" i="86" s="1"/>
  <c r="J64" i="86"/>
  <c r="H26" i="89" s="1"/>
  <c r="B52" i="96"/>
  <c r="C52" i="96"/>
  <c r="O104" i="143"/>
  <c r="K16" i="147" l="1"/>
  <c r="I16" i="147" s="1"/>
  <c r="N14" i="86"/>
  <c r="P63" i="178"/>
  <c r="D19" i="178"/>
  <c r="F22" i="196"/>
  <c r="J22" i="196" s="1"/>
  <c r="N22" i="196" s="1"/>
  <c r="D22" i="196"/>
  <c r="D23" i="196" s="1"/>
  <c r="P21" i="196"/>
  <c r="D22" i="225"/>
  <c r="F22" i="225"/>
  <c r="J22" i="225" s="1"/>
  <c r="N22" i="225" s="1"/>
  <c r="P21" i="225"/>
  <c r="F35" i="89"/>
  <c r="F36" i="89" s="1"/>
  <c r="F38" i="89" s="1"/>
  <c r="E144" i="86"/>
  <c r="A27" i="39"/>
  <c r="A28" i="39" s="1"/>
  <c r="A29" i="39" s="1"/>
  <c r="A30" i="39" s="1"/>
  <c r="A32" i="39" s="1"/>
  <c r="R27" i="153"/>
  <c r="R19" i="153"/>
  <c r="R30" i="153"/>
  <c r="R16" i="153"/>
  <c r="R14" i="153"/>
  <c r="F30" i="129"/>
  <c r="R22" i="129" s="1"/>
  <c r="G172" i="86"/>
  <c r="G180" i="86" s="1"/>
  <c r="F22" i="89"/>
  <c r="F23" i="89" s="1"/>
  <c r="F25" i="89" s="1"/>
  <c r="F27" i="89" s="1"/>
  <c r="D139" i="215"/>
  <c r="G138" i="215"/>
  <c r="E139" i="215"/>
  <c r="H138" i="215"/>
  <c r="I138" i="215" s="1"/>
  <c r="H47" i="89"/>
  <c r="H48" i="89" s="1"/>
  <c r="H50" i="89" s="1"/>
  <c r="F47" i="89"/>
  <c r="F48" i="89" s="1"/>
  <c r="H22" i="89"/>
  <c r="H23" i="89" s="1"/>
  <c r="H25" i="89" s="1"/>
  <c r="H27" i="89" s="1"/>
  <c r="A37" i="145"/>
  <c r="C24" i="89"/>
  <c r="Q56" i="153"/>
  <c r="S56" i="153" s="1"/>
  <c r="M47" i="78"/>
  <c r="L107" i="86"/>
  <c r="G105" i="86"/>
  <c r="G108" i="86"/>
  <c r="L108" i="86" s="1"/>
  <c r="N108" i="86" s="1"/>
  <c r="H18" i="145"/>
  <c r="I18" i="145" s="1"/>
  <c r="G165" i="86"/>
  <c r="J23" i="149"/>
  <c r="L23" i="149" s="1"/>
  <c r="H28" i="149"/>
  <c r="H30" i="149" s="1"/>
  <c r="E17" i="129"/>
  <c r="R19" i="129" s="1"/>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A53" i="153"/>
  <c r="A54" i="153" s="1"/>
  <c r="A55" i="153" s="1"/>
  <c r="A56" i="153" s="1"/>
  <c r="A57" i="153" s="1"/>
  <c r="A58" i="153" s="1"/>
  <c r="A59" i="153" s="1"/>
  <c r="G34" i="147"/>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J69" i="86"/>
  <c r="L69" i="86" s="1"/>
  <c r="N69" i="86"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Q58" i="153"/>
  <c r="S58" i="153" s="1"/>
  <c r="F28" i="149"/>
  <c r="P33" i="143"/>
  <c r="R34" i="129"/>
  <c r="G79" i="86"/>
  <c r="L211" i="86"/>
  <c r="J215" i="86" s="1"/>
  <c r="L215" i="86" s="1"/>
  <c r="H37" i="89"/>
  <c r="G78" i="86"/>
  <c r="L54" i="86"/>
  <c r="G63" i="86"/>
  <c r="R19" i="178" l="1"/>
  <c r="F20" i="178"/>
  <c r="J20" i="178" s="1"/>
  <c r="N20" i="178" s="1"/>
  <c r="D20" i="178"/>
  <c r="D23" i="225"/>
  <c r="F23" i="225"/>
  <c r="J23" i="225" s="1"/>
  <c r="N23" i="225" s="1"/>
  <c r="H25" i="225" s="1"/>
  <c r="P22" i="225"/>
  <c r="P22" i="196"/>
  <c r="F23" i="196"/>
  <c r="J23" i="196" s="1"/>
  <c r="N23" i="196" s="1"/>
  <c r="H26" i="196" s="1"/>
  <c r="L180" i="86"/>
  <c r="E145" i="86"/>
  <c r="G179" i="86"/>
  <c r="G178" i="86"/>
  <c r="L179" i="86"/>
  <c r="B139" i="215"/>
  <c r="F139" i="215"/>
  <c r="I105" i="143"/>
  <c r="I60" i="145"/>
  <c r="F49" i="89" s="1"/>
  <c r="F50" i="89" s="1"/>
  <c r="F52" i="89" s="1"/>
  <c r="A38" i="145"/>
  <c r="A39" i="145" s="1"/>
  <c r="E39" i="145"/>
  <c r="G109" i="86"/>
  <c r="L219" i="86"/>
  <c r="L221" i="86" s="1"/>
  <c r="J147" i="86" s="1"/>
  <c r="L147" i="86" s="1"/>
  <c r="N147" i="86" s="1"/>
  <c r="J153" i="86"/>
  <c r="L153" i="86" s="1"/>
  <c r="N153" i="86" s="1"/>
  <c r="G83" i="86"/>
  <c r="B106" i="143"/>
  <c r="E106" i="143"/>
  <c r="F106" i="143" s="1"/>
  <c r="A18" i="74"/>
  <c r="H29" i="149"/>
  <c r="H31" i="149"/>
  <c r="H32" i="149"/>
  <c r="E90" i="86"/>
  <c r="L232" i="86"/>
  <c r="A63" i="89"/>
  <c r="A64" i="89" s="1"/>
  <c r="E91" i="86" s="1"/>
  <c r="F35" i="143"/>
  <c r="P24" i="143" s="1"/>
  <c r="B25" i="86"/>
  <c r="B26" i="86" s="1"/>
  <c r="G23" i="147"/>
  <c r="J102" i="86"/>
  <c r="L102" i="86" s="1"/>
  <c r="N102" i="86" s="1"/>
  <c r="J134" i="86"/>
  <c r="L134" i="86" s="1"/>
  <c r="J144" i="86"/>
  <c r="J57" i="86"/>
  <c r="L57" i="86" s="1"/>
  <c r="H51" i="89"/>
  <c r="H52" i="89" s="1"/>
  <c r="L78" i="86"/>
  <c r="G111" i="86"/>
  <c r="L79" i="86" l="1"/>
  <c r="N79" i="86" s="1"/>
  <c r="N57" i="86"/>
  <c r="L101" i="86"/>
  <c r="N101" i="86" s="1"/>
  <c r="N134" i="86"/>
  <c r="F35" i="129"/>
  <c r="R25" i="129" s="1"/>
  <c r="N180" i="86"/>
  <c r="F34" i="143"/>
  <c r="P23" i="143" s="1"/>
  <c r="N179" i="86"/>
  <c r="R20" i="178"/>
  <c r="H25" i="196"/>
  <c r="D21" i="178"/>
  <c r="F21" i="178"/>
  <c r="J21" i="178" s="1"/>
  <c r="N21" i="178" s="1"/>
  <c r="H24" i="178" s="1"/>
  <c r="D24" i="225"/>
  <c r="F24" i="225"/>
  <c r="P23" i="225"/>
  <c r="H24" i="225"/>
  <c r="H24" i="196"/>
  <c r="H26" i="225"/>
  <c r="D24" i="196"/>
  <c r="F24" i="196"/>
  <c r="P23" i="196"/>
  <c r="F34" i="129"/>
  <c r="R24" i="129" s="1"/>
  <c r="A35" i="39"/>
  <c r="A36" i="39" s="1"/>
  <c r="A37" i="39" s="1"/>
  <c r="D140" i="215"/>
  <c r="G139" i="215"/>
  <c r="H139" i="215"/>
  <c r="I139" i="215" s="1"/>
  <c r="E140" i="215"/>
  <c r="E40" i="145"/>
  <c r="A40" i="145"/>
  <c r="A44" i="145" s="1"/>
  <c r="A45" i="145" s="1"/>
  <c r="A46" i="145" s="1"/>
  <c r="A47" i="145" s="1"/>
  <c r="A48" i="145" s="1"/>
  <c r="A49" i="145" s="1"/>
  <c r="A50" i="145" s="1"/>
  <c r="A51" i="145" s="1"/>
  <c r="A52" i="145" s="1"/>
  <c r="A53" i="145" s="1"/>
  <c r="A54" i="145" s="1"/>
  <c r="A55" i="145" s="1"/>
  <c r="A56" i="145" s="1"/>
  <c r="A58" i="145" s="1"/>
  <c r="E104" i="86"/>
  <c r="A25" i="74"/>
  <c r="F55" i="129"/>
  <c r="R30" i="129" s="1"/>
  <c r="F55" i="143"/>
  <c r="P29" i="143" s="1"/>
  <c r="E237" i="86"/>
  <c r="E238" i="86" s="1"/>
  <c r="H106" i="143"/>
  <c r="D107" i="143"/>
  <c r="E107" i="143" s="1"/>
  <c r="G106" i="143"/>
  <c r="J98" i="86"/>
  <c r="L98" i="86" s="1"/>
  <c r="N98" i="86" s="1"/>
  <c r="N42" i="190"/>
  <c r="N45" i="190" s="1"/>
  <c r="L96" i="86" s="1"/>
  <c r="D29" i="86"/>
  <c r="E27" i="86"/>
  <c r="B27" i="86"/>
  <c r="B29" i="86" s="1"/>
  <c r="J103" i="86"/>
  <c r="L103" i="86" s="1"/>
  <c r="N103" i="86" s="1"/>
  <c r="J160" i="86"/>
  <c r="L160" i="86" s="1"/>
  <c r="N160" i="86" s="1"/>
  <c r="J105" i="86"/>
  <c r="L105" i="86" s="1"/>
  <c r="N105" i="86" s="1"/>
  <c r="J74" i="86"/>
  <c r="L74" i="86" s="1"/>
  <c r="N74" i="86" s="1"/>
  <c r="J142" i="86"/>
  <c r="L142" i="86" s="1"/>
  <c r="N142" i="86" s="1"/>
  <c r="J155" i="86"/>
  <c r="L155" i="86" s="1"/>
  <c r="N155" i="86" s="1"/>
  <c r="J154" i="86"/>
  <c r="L154" i="86" s="1"/>
  <c r="N154" i="86" s="1"/>
  <c r="J73" i="86"/>
  <c r="L73" i="86" s="1"/>
  <c r="N73" i="86" s="1"/>
  <c r="J60" i="86"/>
  <c r="L60" i="86" s="1"/>
  <c r="N60" i="86" s="1"/>
  <c r="J62" i="86"/>
  <c r="L62" i="86" s="1"/>
  <c r="N62" i="86" s="1"/>
  <c r="J72" i="86"/>
  <c r="L72" i="86" s="1"/>
  <c r="N72" i="86" s="1"/>
  <c r="I26" i="89"/>
  <c r="J61" i="86"/>
  <c r="L61" i="86" s="1"/>
  <c r="N61" i="86" s="1"/>
  <c r="F71" i="143"/>
  <c r="P31" i="143" s="1"/>
  <c r="F71" i="129"/>
  <c r="R32" i="129" s="1"/>
  <c r="L111" i="86"/>
  <c r="N111" i="86" s="1"/>
  <c r="H23" i="178" l="1"/>
  <c r="H22" i="178"/>
  <c r="R21" i="178"/>
  <c r="D22" i="178"/>
  <c r="F22" i="178"/>
  <c r="J24" i="196"/>
  <c r="N24" i="196" s="1"/>
  <c r="P24" i="196" s="1"/>
  <c r="J24" i="225"/>
  <c r="N24" i="225" s="1"/>
  <c r="P24" i="225" s="1"/>
  <c r="D25" i="225"/>
  <c r="F25" i="225"/>
  <c r="J25" i="225" s="1"/>
  <c r="N25" i="225" s="1"/>
  <c r="F25" i="196"/>
  <c r="J25" i="196" s="1"/>
  <c r="N25" i="196" s="1"/>
  <c r="D25" i="196"/>
  <c r="A39" i="39"/>
  <c r="E146" i="86" s="1"/>
  <c r="F140" i="215"/>
  <c r="B140" i="215"/>
  <c r="I106" i="143"/>
  <c r="A60" i="145"/>
  <c r="C49" i="89" s="1"/>
  <c r="B60" i="145"/>
  <c r="E79" i="203"/>
  <c r="E81" i="203" s="1"/>
  <c r="E82" i="203" s="1"/>
  <c r="E53" i="203" s="1"/>
  <c r="E58" i="203" s="1"/>
  <c r="E60" i="203" s="1"/>
  <c r="G235" i="86"/>
  <c r="G236" i="86"/>
  <c r="G237" i="86"/>
  <c r="L156" i="86"/>
  <c r="N156" i="86" s="1"/>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L75" i="86"/>
  <c r="N75" i="86" s="1"/>
  <c r="I37" i="89"/>
  <c r="L82" i="86"/>
  <c r="N82" i="86" s="1"/>
  <c r="L63" i="86"/>
  <c r="N63" i="86" s="1"/>
  <c r="L81" i="86"/>
  <c r="N81" i="86" s="1"/>
  <c r="J22" i="178" l="1"/>
  <c r="N22" i="178" s="1"/>
  <c r="R22" i="178" s="1"/>
  <c r="D23" i="178"/>
  <c r="F23" i="178"/>
  <c r="J23" i="178" s="1"/>
  <c r="N23" i="178" s="1"/>
  <c r="P25" i="225"/>
  <c r="P25" i="196"/>
  <c r="F26" i="196"/>
  <c r="J26" i="196" s="1"/>
  <c r="N26" i="196" s="1"/>
  <c r="H27" i="196" s="1"/>
  <c r="D26" i="196"/>
  <c r="D26" i="225"/>
  <c r="F26" i="225"/>
  <c r="J26" i="225" s="1"/>
  <c r="N26" i="225" s="1"/>
  <c r="L237" i="86"/>
  <c r="D18" i="143"/>
  <c r="F18" i="143" s="1"/>
  <c r="D18" i="129"/>
  <c r="R20" i="129" s="1"/>
  <c r="D16" i="129"/>
  <c r="R16" i="129" s="1"/>
  <c r="D16" i="143"/>
  <c r="P15" i="143" s="1"/>
  <c r="D17" i="143"/>
  <c r="P17" i="143" s="1"/>
  <c r="D17" i="129"/>
  <c r="D141" i="215"/>
  <c r="H140" i="215"/>
  <c r="G140" i="215"/>
  <c r="E141" i="215"/>
  <c r="J63" i="86"/>
  <c r="J178" i="86" s="1"/>
  <c r="E107" i="86"/>
  <c r="E106" i="86"/>
  <c r="E105" i="86"/>
  <c r="E108" i="86"/>
  <c r="J235" i="86"/>
  <c r="L225" i="86"/>
  <c r="L236" i="86"/>
  <c r="G107" i="143"/>
  <c r="H107" i="143"/>
  <c r="D108" i="143"/>
  <c r="B108" i="143" s="1"/>
  <c r="B32" i="86"/>
  <c r="B33" i="86" s="1"/>
  <c r="C77" i="143"/>
  <c r="Q32" i="143" s="1"/>
  <c r="C77" i="129"/>
  <c r="S33" i="129" s="1"/>
  <c r="L83" i="86"/>
  <c r="I51" i="89"/>
  <c r="J83" i="86" l="1"/>
  <c r="N83" i="86"/>
  <c r="F17" i="129"/>
  <c r="R18" i="129"/>
  <c r="D24" i="178"/>
  <c r="F24" i="178"/>
  <c r="J24" i="178" s="1"/>
  <c r="N24" i="178" s="1"/>
  <c r="H25" i="178" s="1"/>
  <c r="R23" i="178"/>
  <c r="H29" i="225"/>
  <c r="H27" i="225"/>
  <c r="H28" i="225"/>
  <c r="H28" i="196"/>
  <c r="F27" i="196"/>
  <c r="J27" i="196" s="1"/>
  <c r="N27" i="196" s="1"/>
  <c r="D27" i="196"/>
  <c r="D27" i="225"/>
  <c r="F27" i="225"/>
  <c r="P26" i="225"/>
  <c r="P26" i="196"/>
  <c r="H29" i="196"/>
  <c r="J104" i="86"/>
  <c r="L104" i="86" s="1"/>
  <c r="N104" i="86" s="1"/>
  <c r="J106" i="86"/>
  <c r="L106" i="86" s="1"/>
  <c r="N106" i="86" s="1"/>
  <c r="P19" i="143"/>
  <c r="J162" i="86"/>
  <c r="L162" i="86" s="1"/>
  <c r="N162" i="86" s="1"/>
  <c r="J145" i="86"/>
  <c r="L145" i="86" s="1"/>
  <c r="N145" i="86" s="1"/>
  <c r="J143" i="86"/>
  <c r="L143" i="86" s="1"/>
  <c r="N143" i="86" s="1"/>
  <c r="I140" i="215"/>
  <c r="F141" i="215"/>
  <c r="B141" i="215"/>
  <c r="G26" i="89"/>
  <c r="G37" i="89" s="1"/>
  <c r="L178" i="86"/>
  <c r="J164" i="86"/>
  <c r="L164" i="86" s="1"/>
  <c r="N164" i="86" s="1"/>
  <c r="E108" i="143"/>
  <c r="F108" i="143" s="1"/>
  <c r="I107" i="143"/>
  <c r="F17" i="143"/>
  <c r="E16" i="129"/>
  <c r="F18" i="129"/>
  <c r="E16" i="143"/>
  <c r="F16" i="143" s="1"/>
  <c r="L235" i="86"/>
  <c r="L238" i="86" s="1"/>
  <c r="G108" i="143"/>
  <c r="D109" i="143"/>
  <c r="H108" i="143"/>
  <c r="B35" i="86"/>
  <c r="B20" i="86"/>
  <c r="F33" i="129" l="1"/>
  <c r="R23" i="129" s="1"/>
  <c r="N178" i="86"/>
  <c r="H26" i="178"/>
  <c r="D25" i="178"/>
  <c r="F25" i="178"/>
  <c r="J25" i="178" s="1"/>
  <c r="N25" i="178" s="1"/>
  <c r="R24" i="178"/>
  <c r="H27" i="178"/>
  <c r="F16" i="129"/>
  <c r="F19" i="129" s="1"/>
  <c r="E24" i="129" s="1"/>
  <c r="R17" i="129"/>
  <c r="P27" i="196"/>
  <c r="L109" i="86"/>
  <c r="N109" i="86" s="1"/>
  <c r="D28" i="225"/>
  <c r="F28" i="225"/>
  <c r="J28" i="225" s="1"/>
  <c r="N28" i="225" s="1"/>
  <c r="J27" i="225"/>
  <c r="N27" i="225" s="1"/>
  <c r="P27" i="225" s="1"/>
  <c r="D28" i="196"/>
  <c r="F28" i="196"/>
  <c r="J28" i="196" s="1"/>
  <c r="N28" i="196" s="1"/>
  <c r="L165" i="86"/>
  <c r="N165" i="86" s="1"/>
  <c r="G141" i="215"/>
  <c r="D142" i="215"/>
  <c r="H141" i="215"/>
  <c r="I141" i="215" s="1"/>
  <c r="E142" i="215"/>
  <c r="F33" i="143"/>
  <c r="P22" i="143" s="1"/>
  <c r="P16" i="143"/>
  <c r="I108" i="143"/>
  <c r="E109" i="143"/>
  <c r="F109" i="143" s="1"/>
  <c r="D110" i="143" s="1"/>
  <c r="B109" i="143"/>
  <c r="B54" i="86"/>
  <c r="G30" i="147"/>
  <c r="D259" i="86"/>
  <c r="F19" i="143"/>
  <c r="E24" i="143" s="1"/>
  <c r="G169" i="86"/>
  <c r="G51" i="89"/>
  <c r="R25" i="178" l="1"/>
  <c r="D26" i="178"/>
  <c r="F26" i="178"/>
  <c r="J26" i="178" s="1"/>
  <c r="N26" i="178" s="1"/>
  <c r="P28" i="225"/>
  <c r="D29" i="225"/>
  <c r="F29" i="225"/>
  <c r="J29" i="225" s="1"/>
  <c r="N29" i="225" s="1"/>
  <c r="F29" i="196"/>
  <c r="J29" i="196" s="1"/>
  <c r="N29" i="196" s="1"/>
  <c r="H32" i="196" s="1"/>
  <c r="D29" i="196"/>
  <c r="D30" i="196" s="1"/>
  <c r="D31" i="196" s="1"/>
  <c r="P28" i="196"/>
  <c r="F142" i="215"/>
  <c r="B142" i="215"/>
  <c r="G109" i="143"/>
  <c r="E110" i="143"/>
  <c r="F110" i="143" s="1"/>
  <c r="H109" i="143"/>
  <c r="F31" i="129"/>
  <c r="F31" i="143"/>
  <c r="B55" i="86"/>
  <c r="B56" i="86" s="1"/>
  <c r="B110" i="143"/>
  <c r="G63" i="89"/>
  <c r="G64" i="89" s="1"/>
  <c r="J64" i="89" s="1"/>
  <c r="L91" i="86" s="1"/>
  <c r="N91" i="86" s="1"/>
  <c r="D27" i="178" l="1"/>
  <c r="F27" i="178"/>
  <c r="J27" i="178" s="1"/>
  <c r="N27" i="178" s="1"/>
  <c r="H30" i="178" s="1"/>
  <c r="R26" i="178"/>
  <c r="H31" i="196"/>
  <c r="H32" i="225"/>
  <c r="H31" i="225"/>
  <c r="H30" i="225"/>
  <c r="D30" i="225"/>
  <c r="F30" i="225"/>
  <c r="P29" i="225"/>
  <c r="F30" i="196"/>
  <c r="P29" i="196"/>
  <c r="H30" i="196"/>
  <c r="D143" i="215"/>
  <c r="H142" i="215"/>
  <c r="G142" i="215"/>
  <c r="E143" i="215"/>
  <c r="I109" i="143"/>
  <c r="E206" i="86"/>
  <c r="B57" i="86"/>
  <c r="B58" i="86" s="1"/>
  <c r="D111" i="143"/>
  <c r="E111" i="143" s="1"/>
  <c r="H110" i="143"/>
  <c r="G110" i="143"/>
  <c r="R27" i="178" l="1"/>
  <c r="D28" i="178"/>
  <c r="F28" i="178"/>
  <c r="H28" i="178"/>
  <c r="H29" i="178"/>
  <c r="J30" i="196"/>
  <c r="N30" i="196" s="1"/>
  <c r="P30" i="196" s="1"/>
  <c r="F31" i="196"/>
  <c r="J31" i="196" s="1"/>
  <c r="N31" i="196" s="1"/>
  <c r="D31" i="225"/>
  <c r="F31" i="225"/>
  <c r="J31" i="225" s="1"/>
  <c r="N31" i="225" s="1"/>
  <c r="J30" i="225"/>
  <c r="N30" i="225" s="1"/>
  <c r="P30" i="225" s="1"/>
  <c r="I142" i="215"/>
  <c r="B143" i="215"/>
  <c r="F143" i="215"/>
  <c r="B59" i="86"/>
  <c r="B60" i="86" s="1"/>
  <c r="I110" i="143"/>
  <c r="B111" i="143"/>
  <c r="F111" i="143"/>
  <c r="J28" i="178" l="1"/>
  <c r="N28" i="178" s="1"/>
  <c r="F29" i="178"/>
  <c r="J29" i="178" s="1"/>
  <c r="N29" i="178" s="1"/>
  <c r="D29" i="178"/>
  <c r="D32" i="225"/>
  <c r="F32" i="225"/>
  <c r="J32" i="225" s="1"/>
  <c r="N32" i="225" s="1"/>
  <c r="H37" i="225" s="1"/>
  <c r="P31" i="225"/>
  <c r="D32" i="196"/>
  <c r="F32" i="196"/>
  <c r="J32" i="196" s="1"/>
  <c r="N32" i="196" s="1"/>
  <c r="P31" i="196"/>
  <c r="H143" i="215"/>
  <c r="D144" i="215"/>
  <c r="G143" i="215"/>
  <c r="G111" i="143"/>
  <c r="D112" i="143"/>
  <c r="E112" i="143" s="1"/>
  <c r="H111" i="143"/>
  <c r="B61" i="86"/>
  <c r="B62" i="86" s="1"/>
  <c r="F30" i="178" l="1"/>
  <c r="J30" i="178" s="1"/>
  <c r="N30" i="178" s="1"/>
  <c r="H35" i="178" s="1"/>
  <c r="D30" i="178"/>
  <c r="R29" i="178"/>
  <c r="R28" i="178"/>
  <c r="H34" i="178"/>
  <c r="H33" i="178"/>
  <c r="F35" i="196"/>
  <c r="P32" i="196"/>
  <c r="H36" i="225"/>
  <c r="H35" i="225"/>
  <c r="H37" i="196"/>
  <c r="H35" i="196"/>
  <c r="H36" i="196"/>
  <c r="F35" i="225"/>
  <c r="P32" i="225"/>
  <c r="B144" i="215"/>
  <c r="E144" i="215"/>
  <c r="F144" i="215" s="1"/>
  <c r="I143" i="215"/>
  <c r="I111" i="143"/>
  <c r="B63" i="86"/>
  <c r="B65" i="86" s="1"/>
  <c r="B66" i="86" s="1"/>
  <c r="E63" i="86"/>
  <c r="B112" i="143"/>
  <c r="F112" i="143"/>
  <c r="F33" i="178" l="1"/>
  <c r="R30" i="178"/>
  <c r="F36" i="225"/>
  <c r="J35" i="225"/>
  <c r="N35" i="225" s="1"/>
  <c r="F36" i="196"/>
  <c r="J35" i="196"/>
  <c r="N35" i="196" s="1"/>
  <c r="D145" i="215"/>
  <c r="G144" i="215"/>
  <c r="H144" i="215"/>
  <c r="I144" i="215" s="1"/>
  <c r="E145" i="215"/>
  <c r="H112" i="143"/>
  <c r="D113" i="143"/>
  <c r="E113" i="143" s="1"/>
  <c r="G112" i="143"/>
  <c r="B67" i="86"/>
  <c r="B68" i="86" s="1"/>
  <c r="F34" i="178" l="1"/>
  <c r="J33" i="178"/>
  <c r="N33" i="178" s="1"/>
  <c r="F37" i="225"/>
  <c r="J36" i="225"/>
  <c r="N36" i="225" s="1"/>
  <c r="P36" i="225" s="1"/>
  <c r="P35" i="196"/>
  <c r="J36" i="196"/>
  <c r="N36" i="196" s="1"/>
  <c r="F37" i="196"/>
  <c r="P35" i="225"/>
  <c r="F145" i="215"/>
  <c r="B145" i="215"/>
  <c r="E78" i="86"/>
  <c r="I112" i="143"/>
  <c r="B69" i="86"/>
  <c r="B70" i="86" s="1"/>
  <c r="B113" i="143"/>
  <c r="F113" i="143"/>
  <c r="R33" i="178" l="1"/>
  <c r="J34" i="178"/>
  <c r="N34" i="178" s="1"/>
  <c r="F35" i="178"/>
  <c r="F38" i="196"/>
  <c r="F39" i="196" s="1"/>
  <c r="J37" i="196"/>
  <c r="N37" i="196" s="1"/>
  <c r="H38" i="196" s="1"/>
  <c r="P36" i="196"/>
  <c r="F38" i="225"/>
  <c r="F39" i="225" s="1"/>
  <c r="J37" i="225"/>
  <c r="N37" i="225" s="1"/>
  <c r="H145" i="215"/>
  <c r="G145" i="215"/>
  <c r="D146" i="215"/>
  <c r="E146" i="215"/>
  <c r="D114" i="143"/>
  <c r="H113" i="143"/>
  <c r="G113" i="143"/>
  <c r="E114" i="143"/>
  <c r="B71" i="86"/>
  <c r="B72" i="86" s="1"/>
  <c r="E79" i="86"/>
  <c r="F36" i="178" l="1"/>
  <c r="F37" i="178" s="1"/>
  <c r="J35" i="178"/>
  <c r="N35" i="178" s="1"/>
  <c r="R34" i="178"/>
  <c r="J38" i="196"/>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M20" i="147"/>
  <c r="B73" i="86"/>
  <c r="B74" i="86" s="1"/>
  <c r="B114" i="143"/>
  <c r="F114" i="143"/>
  <c r="J40" i="196" l="1"/>
  <c r="N40" i="196" s="1"/>
  <c r="P40" i="196" s="1"/>
  <c r="P43" i="196" s="1"/>
  <c r="P45" i="196" s="1"/>
  <c r="P39" i="225"/>
  <c r="H37" i="178"/>
  <c r="J37" i="178" s="1"/>
  <c r="N37" i="178" s="1"/>
  <c r="H36" i="178"/>
  <c r="J36" i="178" s="1"/>
  <c r="N36" i="178" s="1"/>
  <c r="R35" i="178"/>
  <c r="F38" i="178"/>
  <c r="H38" i="178"/>
  <c r="J40" i="225"/>
  <c r="N40" i="225" s="1"/>
  <c r="P40" i="225" s="1"/>
  <c r="P43" i="225" s="1"/>
  <c r="P45" i="225" s="1"/>
  <c r="P39" i="196"/>
  <c r="D147" i="215"/>
  <c r="G146" i="215"/>
  <c r="H146" i="215"/>
  <c r="I146" i="215" s="1"/>
  <c r="E147" i="215"/>
  <c r="E81" i="86"/>
  <c r="M28" i="147"/>
  <c r="D115" i="143"/>
  <c r="H114" i="143"/>
  <c r="G114" i="143"/>
  <c r="E115" i="143"/>
  <c r="B75" i="86"/>
  <c r="B77" i="86" s="1"/>
  <c r="B78" i="86" s="1"/>
  <c r="E82" i="86"/>
  <c r="E75" i="86"/>
  <c r="R37" i="178" l="1"/>
  <c r="R36" i="178"/>
  <c r="F39" i="178"/>
  <c r="F40" i="178" s="1"/>
  <c r="J38" i="178"/>
  <c r="N38" i="178" s="1"/>
  <c r="R38" i="178" s="1"/>
  <c r="F147" i="215"/>
  <c r="B147" i="215"/>
  <c r="B79" i="86"/>
  <c r="M32" i="147"/>
  <c r="M36" i="147" s="1"/>
  <c r="B115" i="143"/>
  <c r="F115" i="143"/>
  <c r="I114" i="143"/>
  <c r="H40" i="178" l="1"/>
  <c r="J40" i="178" s="1"/>
  <c r="N40" i="178" s="1"/>
  <c r="H39" i="178"/>
  <c r="J39" i="178" s="1"/>
  <c r="N39" i="178" s="1"/>
  <c r="H41" i="178"/>
  <c r="F41" i="178"/>
  <c r="D148" i="215"/>
  <c r="E148" i="215" s="1"/>
  <c r="H147" i="215"/>
  <c r="G147" i="215"/>
  <c r="G115" i="143"/>
  <c r="H115" i="143"/>
  <c r="D116" i="143"/>
  <c r="E116" i="143" s="1"/>
  <c r="C71" i="143"/>
  <c r="Q31" i="143" s="1"/>
  <c r="C71" i="129"/>
  <c r="S32" i="129" s="1"/>
  <c r="B80" i="86"/>
  <c r="B81" i="86" s="1"/>
  <c r="B82" i="86" s="1"/>
  <c r="E26" i="86"/>
  <c r="R40" i="178" l="1"/>
  <c r="F42" i="178"/>
  <c r="F43" i="178" s="1"/>
  <c r="J41" i="178"/>
  <c r="N41" i="178" s="1"/>
  <c r="H44" i="178" s="1"/>
  <c r="R39" i="178"/>
  <c r="I147" i="215"/>
  <c r="B148" i="215"/>
  <c r="F148" i="215"/>
  <c r="F116" i="143"/>
  <c r="B116" i="143"/>
  <c r="B83" i="86"/>
  <c r="E83" i="86"/>
  <c r="I115" i="143"/>
  <c r="H43" i="178" l="1"/>
  <c r="R41" i="178"/>
  <c r="H42" i="178"/>
  <c r="J42" i="178" s="1"/>
  <c r="N42" i="178" s="1"/>
  <c r="R42" i="178" s="1"/>
  <c r="J43" i="178"/>
  <c r="N43" i="178" s="1"/>
  <c r="F44" i="178"/>
  <c r="D149" i="215"/>
  <c r="G148" i="215"/>
  <c r="H148" i="215"/>
  <c r="I148" i="215" s="1"/>
  <c r="E149" i="215"/>
  <c r="D117" i="143"/>
  <c r="H116" i="143"/>
  <c r="G116" i="143"/>
  <c r="E117" i="143"/>
  <c r="B86" i="86"/>
  <c r="B87" i="86" s="1"/>
  <c r="F48" i="178" l="1"/>
  <c r="F49" i="178" s="1"/>
  <c r="F50" i="178" s="1"/>
  <c r="F51" i="178" s="1"/>
  <c r="F52" i="178" s="1"/>
  <c r="F53" i="178" s="1"/>
  <c r="F54" i="178" s="1"/>
  <c r="F55" i="178" s="1"/>
  <c r="F56" i="178" s="1"/>
  <c r="F57" i="178" s="1"/>
  <c r="F58" i="178" s="1"/>
  <c r="F59" i="178" s="1"/>
  <c r="J44" i="178"/>
  <c r="N44" i="178" s="1"/>
  <c r="R44" i="178" s="1"/>
  <c r="R43" i="178"/>
  <c r="F149" i="215"/>
  <c r="B149" i="215"/>
  <c r="I116" i="143"/>
  <c r="B88" i="86"/>
  <c r="B89" i="86" s="1"/>
  <c r="B90" i="86" s="1"/>
  <c r="B91" i="86" s="1"/>
  <c r="B92" i="86" s="1"/>
  <c r="B117" i="143"/>
  <c r="F117" i="143"/>
  <c r="H48" i="178" l="1"/>
  <c r="J48" i="178" s="1"/>
  <c r="N48" i="178" s="1"/>
  <c r="H50" i="178"/>
  <c r="H49" i="178"/>
  <c r="P56" i="178"/>
  <c r="P52" i="178"/>
  <c r="P49" i="178"/>
  <c r="P58" i="178"/>
  <c r="P48" i="178"/>
  <c r="P53" i="178"/>
  <c r="P59" i="178"/>
  <c r="P55" i="178"/>
  <c r="P51" i="178"/>
  <c r="P54" i="178"/>
  <c r="P57" i="178"/>
  <c r="P50" i="178"/>
  <c r="H149" i="215"/>
  <c r="D150" i="215"/>
  <c r="G149" i="215"/>
  <c r="E150" i="215"/>
  <c r="E92" i="86"/>
  <c r="B94" i="86"/>
  <c r="B96" i="86" s="1"/>
  <c r="H117" i="143"/>
  <c r="D118" i="143"/>
  <c r="G117" i="143"/>
  <c r="P62" i="178" l="1"/>
  <c r="P64" i="178" s="1"/>
  <c r="R48" i="178"/>
  <c r="J49" i="178" s="1"/>
  <c r="N49" i="178" s="1"/>
  <c r="F150" i="215"/>
  <c r="B150" i="215"/>
  <c r="I149" i="215"/>
  <c r="B98" i="86"/>
  <c r="B100" i="86" s="1"/>
  <c r="B101" i="86" s="1"/>
  <c r="B102" i="86" s="1"/>
  <c r="B103" i="86" s="1"/>
  <c r="B104" i="86" s="1"/>
  <c r="B105" i="86" s="1"/>
  <c r="B106" i="86" s="1"/>
  <c r="B107" i="86" s="1"/>
  <c r="B108" i="86" s="1"/>
  <c r="B109" i="86" s="1"/>
  <c r="I117" i="143"/>
  <c r="B118" i="143"/>
  <c r="E118" i="143"/>
  <c r="F118" i="143" s="1"/>
  <c r="R49" i="178" l="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G150" i="215"/>
  <c r="D151" i="215"/>
  <c r="H150" i="215"/>
  <c r="I150" i="215" s="1"/>
  <c r="E151" i="215"/>
  <c r="B111" i="86"/>
  <c r="B113" i="86" s="1"/>
  <c r="C23" i="143" s="1"/>
  <c r="Q20" i="143" s="1"/>
  <c r="E109" i="86"/>
  <c r="H118" i="143"/>
  <c r="G118" i="143"/>
  <c r="D119" i="143"/>
  <c r="E119" i="143" s="1"/>
  <c r="C23" i="129"/>
  <c r="S21" i="129" s="1"/>
  <c r="H52" i="178" l="1"/>
  <c r="H53" i="178"/>
  <c r="H54" i="178" s="1"/>
  <c r="H51" i="178"/>
  <c r="B151" i="215"/>
  <c r="F151" i="215"/>
  <c r="B128" i="86"/>
  <c r="D113" i="86"/>
  <c r="B119" i="143"/>
  <c r="F119" i="143"/>
  <c r="I118" i="143"/>
  <c r="H55" i="178" l="1"/>
  <c r="H56" i="178"/>
  <c r="H59" i="178" s="1"/>
  <c r="H151" i="215"/>
  <c r="G151" i="215"/>
  <c r="D152" i="215"/>
  <c r="E152" i="215"/>
  <c r="B129" i="86"/>
  <c r="B130" i="86" s="1"/>
  <c r="B131" i="86" s="1"/>
  <c r="B132" i="86" s="1"/>
  <c r="B133" i="86" s="1"/>
  <c r="B134" i="86" s="1"/>
  <c r="E101" i="86" s="1"/>
  <c r="H119" i="143"/>
  <c r="D120" i="143"/>
  <c r="E120" i="143"/>
  <c r="G119" i="143"/>
  <c r="D15" i="149"/>
  <c r="D278" i="86"/>
  <c r="H58" i="178" l="1"/>
  <c r="H57" i="178"/>
  <c r="F152" i="215"/>
  <c r="B152" i="215"/>
  <c r="I151" i="215"/>
  <c r="E134" i="86"/>
  <c r="B120" i="143"/>
  <c r="F120" i="143"/>
  <c r="I119" i="143"/>
  <c r="D153" i="215" l="1"/>
  <c r="G152" i="215"/>
  <c r="H152" i="215"/>
  <c r="I152" i="215" s="1"/>
  <c r="E153" i="215"/>
  <c r="D272"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I157" i="215" s="1"/>
  <c r="D158" i="215"/>
  <c r="G157" i="215"/>
  <c r="E158" i="215"/>
  <c r="E165" i="86"/>
  <c r="B167" i="86"/>
  <c r="B168" i="86" s="1"/>
  <c r="H125" i="143"/>
  <c r="D126" i="143"/>
  <c r="E126" i="143" s="1"/>
  <c r="G125" i="143"/>
  <c r="F158" i="215" l="1"/>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I126" i="143" s="1"/>
  <c r="D127" i="143"/>
  <c r="E127" i="143" s="1"/>
  <c r="G126" i="143"/>
  <c r="B159" i="215" l="1"/>
  <c r="F159" i="215"/>
  <c r="F127" i="143"/>
  <c r="B127" i="143"/>
  <c r="B173" i="86"/>
  <c r="B174" i="86" s="1"/>
  <c r="B175" i="86" s="1"/>
  <c r="B177" i="86" s="1"/>
  <c r="E180" i="86"/>
  <c r="H159" i="215" l="1"/>
  <c r="G159" i="215"/>
  <c r="G160" i="215" s="1"/>
  <c r="E179" i="86"/>
  <c r="H127" i="143"/>
  <c r="D128" i="143"/>
  <c r="G127" i="143"/>
  <c r="B178" i="86"/>
  <c r="E178" i="86"/>
  <c r="I159" i="215" l="1"/>
  <c r="I160" i="215" s="1"/>
  <c r="H160" i="215"/>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B226" i="86" s="1"/>
  <c r="B227" i="86" s="1"/>
  <c r="B228" i="86" s="1"/>
  <c r="F134" i="143"/>
  <c r="B134" i="143"/>
  <c r="E219" i="86" l="1"/>
  <c r="B229" i="86"/>
  <c r="B230" i="86" s="1"/>
  <c r="B231" i="86" s="1"/>
  <c r="B232" i="86" s="1"/>
  <c r="D135" i="143"/>
  <c r="E135" i="143" s="1"/>
  <c r="G134" i="143"/>
  <c r="H134" i="143"/>
  <c r="I134" i="143" l="1"/>
  <c r="E232" i="86"/>
  <c r="B135" i="143"/>
  <c r="F135" i="143"/>
  <c r="B234" i="86"/>
  <c r="B235" i="86" s="1"/>
  <c r="D136" i="143" l="1"/>
  <c r="H135" i="143"/>
  <c r="G135" i="143"/>
  <c r="B236" i="86"/>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G144" i="86"/>
  <c r="G148" i="86" l="1"/>
  <c r="G150" i="86" s="1"/>
  <c r="L144" i="86"/>
  <c r="L148" i="86" l="1"/>
  <c r="N144" i="86"/>
  <c r="N37" i="139"/>
  <c r="J110" i="139"/>
  <c r="N126" i="139"/>
  <c r="L13" i="139"/>
  <c r="J35" i="139"/>
  <c r="L147" i="139"/>
  <c r="J146" i="139"/>
  <c r="J150" i="139"/>
  <c r="J21" i="139"/>
  <c r="J42" i="139"/>
  <c r="J109" i="139"/>
  <c r="N125" i="139"/>
  <c r="L133" i="139"/>
  <c r="J137" i="139"/>
  <c r="J157" i="139"/>
  <c r="J34" i="139"/>
  <c r="J43" i="139"/>
  <c r="J158" i="139"/>
  <c r="J58" i="139"/>
  <c r="J67" i="139"/>
  <c r="J29" i="139"/>
  <c r="N115" i="139"/>
  <c r="J119" i="139"/>
  <c r="N123" i="139"/>
  <c r="J135" i="139"/>
  <c r="J141" i="139"/>
  <c r="J144" i="139"/>
  <c r="L148" i="139"/>
  <c r="J152" i="139"/>
  <c r="L22" i="139"/>
  <c r="L30" i="139"/>
  <c r="J59" i="139"/>
  <c r="N63" i="139"/>
  <c r="L68" i="139"/>
  <c r="M72" i="139"/>
  <c r="M102" i="139" s="1"/>
  <c r="H32" i="89" s="1"/>
  <c r="H35" i="89" s="1"/>
  <c r="H36" i="89" s="1"/>
  <c r="H38" i="89" s="1"/>
  <c r="J79" i="139"/>
  <c r="J114" i="139"/>
  <c r="J122" i="139"/>
  <c r="J130" i="139"/>
  <c r="L138" i="139"/>
  <c r="L15" i="139"/>
  <c r="J61" i="139"/>
  <c r="N90" i="139"/>
  <c r="J24" i="139"/>
  <c r="L40" i="139"/>
  <c r="L71" i="139"/>
  <c r="J82" i="139"/>
  <c r="J121" i="139"/>
  <c r="J18" i="139"/>
  <c r="N140" i="139"/>
  <c r="J159" i="139"/>
  <c r="L16" i="139"/>
  <c r="J32" i="139"/>
  <c r="J108" i="139"/>
  <c r="J112" i="139"/>
  <c r="N116" i="139"/>
  <c r="N120" i="139"/>
  <c r="N124" i="139"/>
  <c r="J128" i="139"/>
  <c r="J132" i="139"/>
  <c r="J136" i="139"/>
  <c r="J139" i="139"/>
  <c r="J145" i="139"/>
  <c r="L28" i="139"/>
  <c r="J36" i="139"/>
  <c r="L44" i="139"/>
  <c r="L60" i="139"/>
  <c r="J64" i="139"/>
  <c r="J76" i="139"/>
  <c r="L111" i="139"/>
  <c r="J127" i="139"/>
  <c r="J131" i="139"/>
  <c r="L143" i="139"/>
  <c r="J74" i="139"/>
  <c r="J83" i="139"/>
  <c r="J87" i="139"/>
  <c r="N91" i="139"/>
  <c r="J95" i="139"/>
  <c r="L19" i="139"/>
  <c r="L23" i="139"/>
  <c r="L26" i="139"/>
  <c r="J33" i="139"/>
  <c r="J69" i="139"/>
  <c r="J85" i="139"/>
  <c r="J113" i="139"/>
  <c r="J117" i="139"/>
  <c r="J129" i="139"/>
  <c r="L20" i="139"/>
  <c r="L27" i="139"/>
  <c r="L31" i="139"/>
  <c r="L38" i="139"/>
  <c r="L41" i="139"/>
  <c r="L66" i="139"/>
  <c r="J73" i="139"/>
  <c r="J78" i="139"/>
  <c r="J86" i="139"/>
  <c r="N89" i="139"/>
  <c r="N118" i="139"/>
  <c r="J134" i="139"/>
  <c r="J149" i="139"/>
  <c r="L17" i="139"/>
  <c r="L25" i="139"/>
  <c r="J70" i="139"/>
  <c r="J84" i="139"/>
  <c r="L88" i="139"/>
  <c r="J92" i="139"/>
  <c r="L142" i="139"/>
  <c r="J62" i="139"/>
  <c r="J75" i="139"/>
  <c r="J80" i="139"/>
  <c r="G25" i="193"/>
  <c r="G27" i="193" s="1"/>
  <c r="J151" i="139"/>
  <c r="N39" i="139"/>
  <c r="F25" i="193"/>
  <c r="L150" i="86" l="1"/>
  <c r="N150" i="86" s="1"/>
  <c r="N148" i="86"/>
  <c r="E41" i="193"/>
  <c r="D41" i="193" s="1"/>
  <c r="N102" i="139"/>
  <c r="I32" i="89" s="1"/>
  <c r="I35" i="89" s="1"/>
  <c r="I36" i="89" s="1"/>
  <c r="I38" i="89" s="1"/>
  <c r="D25" i="193"/>
  <c r="F27" i="193"/>
  <c r="N52" i="139"/>
  <c r="I19" i="89" s="1"/>
  <c r="I22" i="89" s="1"/>
  <c r="I23" i="89" s="1"/>
  <c r="I25" i="89" s="1"/>
  <c r="I27" i="89" s="1"/>
  <c r="N163" i="139"/>
  <c r="I44" i="89" s="1"/>
  <c r="I47" i="89" s="1"/>
  <c r="I48" i="89" s="1"/>
  <c r="I50" i="89" s="1"/>
  <c r="I52" i="89" s="1"/>
  <c r="L163" i="139"/>
  <c r="G44" i="89" s="1"/>
  <c r="G47" i="89" s="1"/>
  <c r="G48" i="89" s="1"/>
  <c r="G50" i="89" s="1"/>
  <c r="G52" i="89" s="1"/>
  <c r="L12" i="139"/>
  <c r="E43" i="193" l="1"/>
  <c r="J52" i="89"/>
  <c r="L90" i="86" s="1"/>
  <c r="N90" i="86" s="1"/>
  <c r="D43" i="193"/>
  <c r="D27" i="193"/>
  <c r="J107" i="139"/>
  <c r="L14" i="139"/>
  <c r="J57" i="139"/>
  <c r="J52" i="139" l="1"/>
  <c r="E19" i="89" s="1"/>
  <c r="E22" i="89" s="1"/>
  <c r="E23" i="89" s="1"/>
  <c r="E25" i="89" s="1"/>
  <c r="E27" i="89" s="1"/>
  <c r="J156" i="139" l="1"/>
  <c r="L98" i="139"/>
  <c r="L102" i="139" s="1"/>
  <c r="G32" i="89" s="1"/>
  <c r="G35" i="89" s="1"/>
  <c r="G36" i="89" s="1"/>
  <c r="G38" i="89" s="1"/>
  <c r="J38" i="89" s="1"/>
  <c r="L89" i="86" s="1"/>
  <c r="N89" i="86" s="1"/>
  <c r="L11" i="139"/>
  <c r="L52" i="139" s="1"/>
  <c r="G19" i="89" s="1"/>
  <c r="G22" i="89" s="1"/>
  <c r="G23" i="89" s="1"/>
  <c r="H52" i="139"/>
  <c r="J106" i="139" l="1"/>
  <c r="J163" i="139" s="1"/>
  <c r="E44" i="89" s="1"/>
  <c r="E47" i="89" s="1"/>
  <c r="E48" i="89" s="1"/>
  <c r="E50" i="89" s="1"/>
  <c r="E52" i="89" s="1"/>
  <c r="H163" i="139"/>
  <c r="D44" i="89" s="1"/>
  <c r="D47" i="89" s="1"/>
  <c r="D48" i="89" s="1"/>
  <c r="J56" i="139"/>
  <c r="J102" i="139" s="1"/>
  <c r="E32" i="89" s="1"/>
  <c r="E35" i="89" s="1"/>
  <c r="E36" i="89" s="1"/>
  <c r="E38" i="89" s="1"/>
  <c r="H102" i="139"/>
  <c r="D32" i="89" s="1"/>
  <c r="D35" i="89" s="1"/>
  <c r="D36" i="89" s="1"/>
  <c r="G89" i="86" s="1"/>
  <c r="H11" i="145"/>
  <c r="H13" i="145" s="1"/>
  <c r="H14" i="145" s="1"/>
  <c r="D19" i="89"/>
  <c r="D22" i="89" s="1"/>
  <c r="D23" i="89" s="1"/>
  <c r="C19" i="145" l="1"/>
  <c r="C27" i="145"/>
  <c r="H27" i="145" s="1"/>
  <c r="C23" i="145"/>
  <c r="H23" i="145" s="1"/>
  <c r="C28" i="145"/>
  <c r="H28" i="145" s="1"/>
  <c r="C30" i="145"/>
  <c r="H30" i="145" s="1"/>
  <c r="C22" i="145"/>
  <c r="H22" i="145" s="1"/>
  <c r="C20" i="145"/>
  <c r="H20" i="145" s="1"/>
  <c r="C21" i="145"/>
  <c r="H21" i="145" s="1"/>
  <c r="C29" i="145"/>
  <c r="H29" i="145" s="1"/>
  <c r="C26" i="145"/>
  <c r="H26" i="145" s="1"/>
  <c r="C24" i="145"/>
  <c r="H24" i="145" s="1"/>
  <c r="C25" i="145"/>
  <c r="H25" i="145" s="1"/>
  <c r="D25" i="89"/>
  <c r="G88" i="86"/>
  <c r="G90" i="86"/>
  <c r="D50" i="89"/>
  <c r="H19" i="145" l="1"/>
  <c r="I19" i="145" s="1"/>
  <c r="I20" i="145" s="1"/>
  <c r="I21" i="145" s="1"/>
  <c r="I22" i="145" s="1"/>
  <c r="I23" i="145" s="1"/>
  <c r="I24" i="145" s="1"/>
  <c r="I25" i="145" s="1"/>
  <c r="I26" i="145" s="1"/>
  <c r="I27" i="145" s="1"/>
  <c r="I28" i="145" s="1"/>
  <c r="I29" i="145" s="1"/>
  <c r="I30" i="145" s="1"/>
  <c r="I32" i="145" s="1"/>
  <c r="D19" i="145"/>
  <c r="D20" i="145" s="1"/>
  <c r="D21" i="145" s="1"/>
  <c r="D22" i="145" s="1"/>
  <c r="D23" i="145" s="1"/>
  <c r="D24" i="145" s="1"/>
  <c r="D25" i="145" s="1"/>
  <c r="D26" i="145" s="1"/>
  <c r="D27" i="145" s="1"/>
  <c r="D28" i="145" s="1"/>
  <c r="D29" i="145" s="1"/>
  <c r="D30" i="145" s="1"/>
  <c r="D32" i="145" s="1"/>
  <c r="G92" i="86"/>
  <c r="G113" i="86" s="1"/>
  <c r="G184" i="86" s="1"/>
  <c r="G177" i="86" s="1"/>
  <c r="G182" i="86" s="1"/>
  <c r="G188" i="86" s="1"/>
  <c r="I38" i="94" s="1"/>
  <c r="I41" i="94" s="1"/>
  <c r="I43" i="94" s="1"/>
  <c r="I45" i="94" s="1"/>
  <c r="I46" i="94" s="1"/>
  <c r="I48" i="94" s="1"/>
  <c r="G191" i="86" s="1"/>
  <c r="G193" i="86" s="1"/>
  <c r="I34" i="145" l="1"/>
  <c r="G24" i="89" s="1"/>
  <c r="G25" i="89" s="1"/>
  <c r="G27" i="89" s="1"/>
  <c r="J27" i="89" s="1"/>
  <c r="L88" i="86" s="1"/>
  <c r="L92" i="86" l="1"/>
  <c r="N88" i="86"/>
  <c r="L113" i="86" l="1"/>
  <c r="N92" i="86"/>
  <c r="L184" i="86" l="1"/>
  <c r="N113" i="86"/>
  <c r="E23" i="129"/>
  <c r="E23" i="143"/>
  <c r="E25" i="143" l="1"/>
  <c r="P20" i="143"/>
  <c r="R21" i="129"/>
  <c r="E25" i="129"/>
  <c r="N184" i="86"/>
  <c r="F43" i="129"/>
  <c r="R27" i="129" s="1"/>
  <c r="L177" i="86"/>
  <c r="F43" i="143"/>
  <c r="P26" i="143" s="1"/>
  <c r="F29" i="129" l="1"/>
  <c r="F32" i="129" s="1"/>
  <c r="F36" i="129" s="1"/>
  <c r="F51" i="129" s="1"/>
  <c r="F50" i="129"/>
  <c r="L182" i="86"/>
  <c r="N177" i="86"/>
  <c r="F29" i="143"/>
  <c r="F32" i="143" s="1"/>
  <c r="F36" i="143" s="1"/>
  <c r="F51" i="143" s="1"/>
  <c r="F50" i="143"/>
  <c r="N182" i="86" l="1"/>
  <c r="F44" i="129"/>
  <c r="R28" i="129" s="1"/>
  <c r="L188" i="86"/>
  <c r="F44" i="143"/>
  <c r="P27" i="143" s="1"/>
  <c r="N188" i="86" l="1"/>
  <c r="K38" i="94"/>
  <c r="K41" i="94" s="1"/>
  <c r="K43" i="94" s="1"/>
  <c r="K45" i="94" s="1"/>
  <c r="K46" i="94" s="1"/>
  <c r="K48" i="94" s="1"/>
  <c r="L191" i="86" s="1"/>
  <c r="L193" i="86" l="1"/>
  <c r="N191" i="86"/>
  <c r="F45" i="143"/>
  <c r="P28" i="143" s="1"/>
  <c r="F45" i="129"/>
  <c r="R29" i="129" s="1"/>
  <c r="F13" i="179"/>
  <c r="N193" i="86" l="1"/>
  <c r="F42" i="143"/>
  <c r="L12" i="86"/>
  <c r="F42" i="129"/>
  <c r="P44" i="179"/>
  <c r="D21" i="179"/>
  <c r="R26" i="129" l="1"/>
  <c r="F46" i="129"/>
  <c r="F49" i="129" s="1"/>
  <c r="F52" i="129" s="1"/>
  <c r="F59" i="129" s="1"/>
  <c r="F62" i="129" s="1"/>
  <c r="F64" i="129" s="1"/>
  <c r="F66" i="129" s="1"/>
  <c r="F67" i="129" s="1"/>
  <c r="F68" i="129" s="1"/>
  <c r="F53" i="129" s="1"/>
  <c r="F54" i="129" s="1"/>
  <c r="L26" i="86"/>
  <c r="N12" i="86"/>
  <c r="L30" i="86"/>
  <c r="K14" i="147"/>
  <c r="L18" i="86"/>
  <c r="N18" i="86" s="1"/>
  <c r="L33" i="86"/>
  <c r="N33" i="86" s="1"/>
  <c r="F46" i="143"/>
  <c r="F49" i="143" s="1"/>
  <c r="F52" i="143" s="1"/>
  <c r="F59" i="143" s="1"/>
  <c r="F62" i="143" s="1"/>
  <c r="F64" i="143" s="1"/>
  <c r="F66" i="143" s="1"/>
  <c r="F67" i="143" s="1"/>
  <c r="F68" i="143" s="1"/>
  <c r="F53" i="143" s="1"/>
  <c r="F54" i="143" s="1"/>
  <c r="P25" i="143"/>
  <c r="D22" i="179"/>
  <c r="P21" i="179"/>
  <c r="F22" i="179"/>
  <c r="J22" i="179" s="1"/>
  <c r="N22" i="179" s="1"/>
  <c r="L20" i="129"/>
  <c r="I14" i="147" l="1"/>
  <c r="K20" i="147"/>
  <c r="F72" i="129"/>
  <c r="F73" i="129" s="1"/>
  <c r="F56" i="129"/>
  <c r="F75" i="129" s="1"/>
  <c r="F76" i="129" s="1"/>
  <c r="N26" i="86"/>
  <c r="L27" i="86"/>
  <c r="N27" i="86" s="1"/>
  <c r="F72" i="143"/>
  <c r="F73" i="143" s="1"/>
  <c r="F56" i="143"/>
  <c r="F75" i="143" s="1"/>
  <c r="F76" i="143" s="1"/>
  <c r="N30" i="86"/>
  <c r="F77" i="143"/>
  <c r="F77" i="129"/>
  <c r="D23" i="179"/>
  <c r="F23" i="179"/>
  <c r="J23" i="179" s="1"/>
  <c r="N23" i="179" s="1"/>
  <c r="H26" i="179" s="1"/>
  <c r="P22" i="179"/>
  <c r="H25" i="179"/>
  <c r="L92" i="129"/>
  <c r="J98" i="129"/>
  <c r="F78" i="143" l="1"/>
  <c r="F78" i="129"/>
  <c r="I99" i="143"/>
  <c r="P32" i="143"/>
  <c r="K28" i="147"/>
  <c r="I20" i="147"/>
  <c r="K21" i="147" s="1"/>
  <c r="M21" i="147" s="1"/>
  <c r="R33" i="129"/>
  <c r="J100" i="129"/>
  <c r="J101" i="129" s="1"/>
  <c r="H24" i="179"/>
  <c r="D24" i="179"/>
  <c r="F24" i="179"/>
  <c r="J24" i="179" s="1"/>
  <c r="N24" i="179" s="1"/>
  <c r="P23" i="179"/>
  <c r="F13" i="224"/>
  <c r="I28" i="147" l="1"/>
  <c r="I32" i="147" s="1"/>
  <c r="I36" i="147" s="1"/>
  <c r="K32" i="147"/>
  <c r="K36" i="147" s="1"/>
  <c r="G104" i="143"/>
  <c r="G160" i="143" s="1"/>
  <c r="I100" i="143"/>
  <c r="H104" i="143" s="1"/>
  <c r="D25" i="179"/>
  <c r="F25" i="179"/>
  <c r="J25" i="179" s="1"/>
  <c r="N25" i="179" s="1"/>
  <c r="P24" i="179"/>
  <c r="D21" i="224"/>
  <c r="P44" i="224"/>
  <c r="H160" i="143" l="1"/>
  <c r="I104" i="143"/>
  <c r="I160" i="143" s="1"/>
  <c r="D26" i="179"/>
  <c r="F26" i="179"/>
  <c r="J26" i="179" s="1"/>
  <c r="N26" i="179" s="1"/>
  <c r="P25" i="179"/>
  <c r="D22" i="224"/>
  <c r="P21" i="224"/>
  <c r="F22" i="224"/>
  <c r="J22" i="224" s="1"/>
  <c r="N22" i="224" s="1"/>
  <c r="H29" i="179" l="1"/>
  <c r="H27" i="179"/>
  <c r="H28" i="179"/>
  <c r="P26" i="179"/>
  <c r="D27" i="179"/>
  <c r="F27" i="179"/>
  <c r="P22" i="224"/>
  <c r="D23" i="224"/>
  <c r="F23" i="224"/>
  <c r="J23" i="224" s="1"/>
  <c r="N23" i="224" s="1"/>
  <c r="H26" i="224" s="1"/>
  <c r="J27" i="179" l="1"/>
  <c r="N27" i="179" s="1"/>
  <c r="D28" i="179"/>
  <c r="F28" i="179"/>
  <c r="J28" i="179" s="1"/>
  <c r="N28" i="179" s="1"/>
  <c r="P27" i="179"/>
  <c r="H25" i="224"/>
  <c r="H24" i="224"/>
  <c r="F24" i="224"/>
  <c r="J24" i="224" s="1"/>
  <c r="N24" i="224" s="1"/>
  <c r="D24" i="224"/>
  <c r="P23" i="224"/>
  <c r="D29" i="179" l="1"/>
  <c r="F29" i="179"/>
  <c r="J29" i="179" s="1"/>
  <c r="N29" i="179" s="1"/>
  <c r="P28" i="179"/>
  <c r="P24" i="224"/>
  <c r="F25" i="224"/>
  <c r="J25" i="224" s="1"/>
  <c r="N25" i="224" s="1"/>
  <c r="D25" i="224"/>
  <c r="H31" i="179" l="1"/>
  <c r="H30" i="179"/>
  <c r="H32" i="179"/>
  <c r="P29" i="179"/>
  <c r="D30" i="179"/>
  <c r="F30" i="179"/>
  <c r="F26" i="224"/>
  <c r="J26" i="224" s="1"/>
  <c r="N26" i="224" s="1"/>
  <c r="D26" i="224"/>
  <c r="P25" i="224"/>
  <c r="J30" i="179" l="1"/>
  <c r="N30" i="179" s="1"/>
  <c r="D31" i="179"/>
  <c r="F31" i="179"/>
  <c r="J31" i="179" s="1"/>
  <c r="N31" i="179" s="1"/>
  <c r="P26" i="224"/>
  <c r="H28" i="224"/>
  <c r="H29" i="224"/>
  <c r="F27" i="224"/>
  <c r="D27" i="224"/>
  <c r="H27" i="224"/>
  <c r="D32" i="179" l="1"/>
  <c r="F32" i="179"/>
  <c r="J32" i="179" s="1"/>
  <c r="N32" i="179" s="1"/>
  <c r="H35" i="179" s="1"/>
  <c r="P31" i="179"/>
  <c r="P30" i="179"/>
  <c r="J27" i="224"/>
  <c r="N27" i="224" s="1"/>
  <c r="P27" i="224" s="1"/>
  <c r="F28" i="224"/>
  <c r="J28" i="224" s="1"/>
  <c r="N28" i="224" s="1"/>
  <c r="D28" i="224"/>
  <c r="H37" i="179" l="1"/>
  <c r="F35" i="179"/>
  <c r="P32" i="179"/>
  <c r="H36" i="179"/>
  <c r="D29" i="224"/>
  <c r="F29" i="224"/>
  <c r="J29" i="224" s="1"/>
  <c r="N29" i="224" s="1"/>
  <c r="P28" i="224"/>
  <c r="F36" i="179" l="1"/>
  <c r="J35" i="179"/>
  <c r="N35" i="179" s="1"/>
  <c r="H31" i="224"/>
  <c r="H32" i="224"/>
  <c r="H30" i="224"/>
  <c r="D30" i="224"/>
  <c r="F30" i="224"/>
  <c r="P29" i="224"/>
  <c r="P35" i="179" l="1"/>
  <c r="J36" i="179"/>
  <c r="N36" i="179" s="1"/>
  <c r="F37" i="179"/>
  <c r="J37" i="179" s="1"/>
  <c r="F31" i="224"/>
  <c r="J31" i="224" s="1"/>
  <c r="N31" i="224" s="1"/>
  <c r="D31" i="224"/>
  <c r="J30" i="224"/>
  <c r="N30" i="224" s="1"/>
  <c r="P30" i="224" s="1"/>
  <c r="N37" i="179" l="1"/>
  <c r="H40" i="179" s="1"/>
  <c r="F38" i="179"/>
  <c r="F39" i="179" s="1"/>
  <c r="F40" i="179" s="1"/>
  <c r="P36" i="179"/>
  <c r="D32" i="224"/>
  <c r="F32" i="224"/>
  <c r="J32" i="224" s="1"/>
  <c r="N32" i="224" s="1"/>
  <c r="H37" i="224" s="1"/>
  <c r="P31" i="224"/>
  <c r="J40" i="179" l="1"/>
  <c r="N40" i="179" s="1"/>
  <c r="H38" i="179"/>
  <c r="J38" i="179" s="1"/>
  <c r="N38" i="179" s="1"/>
  <c r="P38" i="179" s="1"/>
  <c r="H39" i="179"/>
  <c r="J39" i="179" s="1"/>
  <c r="N39" i="179" s="1"/>
  <c r="P39" i="179" s="1"/>
  <c r="P37" i="179"/>
  <c r="F35" i="224"/>
  <c r="P32" i="224"/>
  <c r="H36" i="224"/>
  <c r="H35" i="224"/>
  <c r="P40" i="179" l="1"/>
  <c r="P43" i="179" s="1"/>
  <c r="P45" i="179" s="1"/>
  <c r="J35" i="224"/>
  <c r="N35" i="224" s="1"/>
  <c r="F36" i="224"/>
  <c r="F37" i="224" l="1"/>
  <c r="J36" i="224"/>
  <c r="N36" i="224" s="1"/>
  <c r="P36" i="224" s="1"/>
  <c r="P35" i="224"/>
  <c r="F38" i="224" l="1"/>
  <c r="F39" i="224" s="1"/>
  <c r="J37" i="224"/>
  <c r="N37" i="224" s="1"/>
  <c r="F40" i="224" l="1"/>
  <c r="H40" i="224"/>
  <c r="P37" i="224"/>
  <c r="H38" i="224"/>
  <c r="J38" i="224" s="1"/>
  <c r="N38" i="224" s="1"/>
  <c r="P38" i="224" s="1"/>
  <c r="H39" i="224"/>
  <c r="J39" i="224" s="1"/>
  <c r="N39" i="224" s="1"/>
  <c r="P39" i="224" l="1"/>
  <c r="J40" i="224"/>
  <c r="N40" i="224" s="1"/>
  <c r="P40" i="224" s="1"/>
  <c r="P43" i="224" s="1"/>
  <c r="P45" i="224" s="1"/>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46" authorId="0" shapeId="0">
      <text>
        <r>
          <rPr>
            <b/>
            <sz val="10"/>
            <color indexed="81"/>
            <rFont val="Tahoma"/>
            <family val="2"/>
          </rPr>
          <t>JFM</t>
        </r>
        <r>
          <rPr>
            <sz val="10"/>
            <color indexed="81"/>
            <rFont val="Tahoma"/>
            <family val="2"/>
          </rPr>
          <t xml:space="preserve">
From the Sch 11 true up tab in the template</t>
        </r>
      </text>
    </comment>
    <comment ref="J63" authorId="0" shapeId="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92"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authors>
    <author>Author</author>
  </authors>
  <commentList>
    <comment ref="E47" authorId="0" shapeId="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
</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<sst xmlns="http://schemas.openxmlformats.org/spreadsheetml/2006/main" count="6788" uniqueCount="1836">
  <si>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</si>
  <si>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</si>
  <si>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</si>
  <si>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</si>
  <si>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</si>
  <si>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</si>
  <si>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</si>
  <si>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</si>
  <si>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</si>
  <si>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</si>
  <si>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</si>
  <si>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</si>
  <si>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</si>
  <si>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</si>
  <si>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</si>
  <si>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</si>
  <si>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</si>
  <si>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</si>
  <si>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</si>
  <si>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</si>
  <si>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</si>
  <si>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</si>
  <si>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</si>
  <si>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</si>
  <si>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</si>
  <si>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</si>
  <si>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</si>
  <si>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</si>
  <si>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</si>
  <si>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</si>
  <si>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</si>
  <si>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</si>
  <si>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</si>
  <si>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</si>
  <si>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</si>
  <si>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</si>
  <si>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</si>
  <si>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</si>
  <si>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</si>
  <si>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</si>
  <si>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</si>
  <si>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</si>
  <si>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</si>
  <si>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</si>
  <si>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</si>
  <si>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</si>
  <si>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</si>
  <si>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</si>
  <si>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</si>
  <si>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</si>
  <si>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</si>
  <si>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</si>
  <si>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</si>
  <si>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</si>
  <si>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</si>
  <si>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</si>
  <si>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</si>
  <si>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</si>
  <si>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</si>
  <si>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</si>
  <si>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</si>
  <si>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</si>
  <si>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</si>
  <si>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</si>
  <si>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</si>
  <si>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</si>
  <si>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</si>
  <si>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</si>
  <si>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</si>
  <si>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</si>
  <si>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</si>
  <si>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</si>
  <si>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</si>
  <si>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</si>
  <si>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</si>
  <si>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</si>
  <si>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</si>
  <si>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</si>
  <si>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</si>
  <si>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</si>
  <si>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</si>
  <si>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</si>
  <si>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</si>
  <si>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</si>
  <si>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</si>
  <si>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</si>
  <si>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</si>
  <si>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</si>
  <si>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</si>
  <si>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</si>
  <si>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</si>
  <si>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</si>
  <si>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</si>
  <si>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</si>
  <si>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</si>
  <si>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</si>
  <si>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</si>
  <si>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</si>
  <si>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</si>
  <si>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</si>
  <si>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</si>
  <si>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</si>
  <si>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</si>
  <si>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</si>
  <si>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</si>
  <si>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</si>
  <si>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</si>
  <si>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</si>
  <si>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</si>
  <si>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</si>
  <si>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</si>
  <si>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</si>
  <si>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</si>
  <si>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</si>
  <si>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</si>
  <si>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</si>
  <si>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</si>
  <si>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</si>
  <si>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</si>
  <si>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</si>
  <si>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</si>
  <si>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</si>
  <si>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</si>
  <si>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</si>
  <si>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</si>
  <si>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</si>
  <si>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</si>
  <si>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</si>
  <si>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</si>
  <si>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</si>
  <si>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</si>
  <si>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</si>
  <si>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</si>
  <si>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</si>
  <si>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</si>
  <si>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</si>
  <si>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</si>
  <si>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</si>
  <si>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</si>
  <si>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</si>
  <si>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</si>
  <si>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</si>
  <si>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</si>
  <si>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</si>
  <si>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</si>
  <si>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</si>
  <si>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</si>
  <si>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</si>
  <si>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</si>
  <si>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</si>
  <si>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</si>
  <si>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</si>
  <si>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</si>
  <si>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</si>
  <si>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</si>
  <si>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</si>
  <si>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</si>
  <si>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</si>
  <si>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</si>
  <si>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</si>
  <si>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</si>
  <si>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</si>
  <si>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</si>
  <si>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</si>
  <si>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</si>
  <si>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</si>
  <si>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</si>
  <si>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</si>
  <si>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</si>
  <si>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</si>
  <si>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</si>
  <si>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</si>
  <si>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</si>
  <si>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</si>
  <si>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</si>
  <si>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</si>
  <si>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</si>
  <si>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</si>
  <si>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</si>
  <si>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</si>
  <si>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</si>
  <si>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</si>
  <si>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</si>
  <si>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</si>
  <si>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</si>
  <si>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</si>
  <si>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</si>
  <si>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</si>
  <si>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</si>
  <si>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</si>
  <si>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</si>
  <si>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</si>
  <si>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</si>
  <si>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</si>
  <si>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</si>
  <si>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</si>
  <si>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</si>
  <si>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</si>
  <si>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</si>
  <si>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</si>
  <si>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</si>
  <si>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</si>
  <si>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</si>
  <si>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</si>
  <si>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</si>
  <si>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</si>
  <si>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</si>
  <si>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</si>
  <si>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</si>
  <si>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</si>
  <si>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</si>
  <si>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</si>
  <si>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</si>
  <si>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</si>
  <si>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</si>
  <si>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</si>
  <si>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</si>
  <si>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</si>
  <si>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</si>
  <si>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</si>
  <si>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</si>
  <si>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</si>
  <si>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</si>
  <si>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</si>
  <si>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</si>
  <si>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</si>
  <si>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</si>
  <si>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</si>
  <si>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</si>
  <si>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</si>
  <si>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</si>
  <si>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</si>
  <si>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</si>
  <si>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</si>
  <si>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</si>
  <si>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</si>
  <si>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</si>
  <si>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</si>
  <si>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</si>
  <si>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</si>
  <si>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</si>
  <si>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</si>
  <si>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</si>
  <si>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</si>
  <si>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</si>
  <si>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</si>
  <si>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</si>
  <si>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</si>
  <si>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</si>
  <si>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</si>
  <si>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</si>
  <si>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</si>
  <si>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</si>
  <si>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</si>
  <si>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</si>
  <si>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</si>
  <si>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</si>
  <si>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</si>
  <si>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</si>
  <si>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</si>
  <si>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</si>
  <si>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</si>
  <si>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</si>
  <si>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</si>
  <si>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</si>
  <si>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</si>
  <si>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</si>
  <si>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</si>
  <si>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</si>
  <si>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</si>
  <si>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</si>
  <si>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</si>
  <si>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</si>
  <si>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</si>
  <si>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</si>
  <si>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</si>
  <si>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</si>
  <si>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</si>
  <si>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</si>
  <si>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</si>
  <si>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</si>
  <si>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</si>
  <si>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</si>
  <si>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</si>
  <si>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</si>
  <si>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</si>
  <si>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</si>
  <si>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</si>
  <si>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</si>
  <si>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</si>
  <si>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</si>
  <si>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</si>
  <si>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</si>
  <si>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</si>
  <si>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</si>
  <si>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</si>
  <si>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</si>
  <si>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</si>
  <si>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</si>
  <si>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</si>
  <si>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</si>
  <si>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</si>
  <si>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</si>
  <si>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</si>
  <si>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</si>
  <si>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</si>
  <si>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</si>
  <si>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</si>
  <si>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</si>
  <si>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</si>
  <si>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</si>
  <si>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</si>
  <si>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</si>
  <si>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</si>
  <si>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</si>
  <si>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</si>
  <si>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</si>
  <si>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</si>
  <si>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</si>
  <si>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</si>
  <si>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</si>
  <si>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</si>
  <si>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</si>
  <si>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</si>
  <si>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</si>
  <si>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</si>
  <si>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</si>
  <si>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</si>
  <si>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</si>
  <si>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</si>
  <si>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</si>
  <si>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</si>
  <si>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</si>
  <si>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</si>
  <si>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</si>
  <si>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</si>
  <si>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</si>
  <si>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</si>
  <si>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</si>
  <si>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</si>
  <si>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</si>
  <si>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</si>
  <si>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</si>
  <si>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</si>
  <si>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</si>
  <si>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</si>
  <si>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</si>
  <si>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</si>
  <si>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</si>
  <si>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</si>
  <si>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</si>
  <si>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</si>
  <si>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</si>
  <si>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</si>
  <si>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</si>
  <si>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</si>
  <si>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</si>
  <si>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</si>
  <si>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</si>
  <si>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</si>
  <si>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</si>
  <si>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</si>
  <si>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</si>
  <si>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</si>
  <si>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</si>
  <si>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</si>
  <si>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</si>
  <si>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</si>
  <si>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</si>
  <si>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</si>
  <si>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</si>
  <si>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</si>
  <si>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</si>
  <si>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</si>
  <si>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</si>
  <si>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</si>
  <si>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</si>
  <si>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</si>
  <si>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</si>
  <si>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</si>
  <si>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</si>
  <si>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</si>
  <si>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</si>
  <si>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</si>
  <si>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</si>
  <si>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</si>
  <si>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</si>
  <si>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</si>
  <si>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</si>
  <si>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</si>
  <si>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</si>
  <si>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</si>
  <si>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</si>
  <si>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</si>
  <si>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</si>
  <si>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</si>
  <si>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</si>
  <si>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</si>
  <si>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</si>
  <si>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</si>
  <si>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</si>
  <si>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</si>
  <si>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</si>
  <si>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</si>
  <si>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</si>
  <si>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</si>
  <si>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</si>
  <si>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</si>
  <si>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</si>
  <si>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</si>
  <si>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</si>
  <si>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</si>
  <si>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</si>
  <si>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</si>
  <si>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</si>
  <si>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</si>
  <si>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</si>
  <si>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</si>
  <si>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</si>
  <si>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</si>
  <si>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</si>
  <si>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</si>
  <si>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</si>
  <si>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</si>
  <si>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</si>
  <si>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</si>
  <si>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</si>
  <si>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</si>
  <si>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</si>
  <si>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</si>
  <si>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</si>
  <si>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</si>
  <si>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</si>
  <si>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</si>
  <si>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</si>
  <si>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</si>
  <si>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</si>
  <si>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</si>
  <si>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</si>
  <si>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</si>
  <si>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</si>
  <si>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</si>
  <si>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</si>
  <si>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</si>
  <si>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</si>
  <si>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</si>
  <si>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</si>
  <si>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</si>
  <si>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</si>
  <si>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</si>
  <si>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</si>
  <si>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</si>
  <si>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</si>
  <si>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</si>
  <si>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</si>
  <si>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</si>
  <si>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</si>
  <si>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</si>
  <si>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</si>
  <si>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</si>
  <si>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</si>
  <si>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</si>
  <si>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</si>
  <si>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</si>
  <si>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</si>
  <si>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</si>
  <si>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</si>
  <si>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</si>
  <si>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</si>
  <si>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</si>
  <si>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</si>
  <si>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</si>
  <si>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</si>
  <si>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</si>
  <si>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</si>
  <si>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</si>
  <si>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</si>
  <si>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</si>
  <si>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</si>
  <si>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</si>
  <si>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</si>
  <si>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</si>
  <si>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</si>
  <si>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</si>
  <si>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</si>
  <si>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</si>
  <si>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</si>
  <si>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</si>
  <si>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</si>
  <si>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</si>
  <si>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</si>
  <si>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</si>
  <si>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</si>
  <si>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</si>
  <si>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</si>
  <si>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</si>
  <si>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</si>
  <si>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</si>
  <si>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</si>
  <si>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</si>
  <si>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</si>
  <si>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</si>
  <si>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</si>
  <si>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</si>
  <si>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</si>
  <si>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</si>
  <si>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</si>
  <si>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</si>
  <si>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</si>
  <si>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</si>
  <si>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</si>
  <si>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</si>
  <si>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</si>
  <si>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</si>
  <si>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</si>
  <si>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</si>
  <si>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</si>
  <si>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</si>
  <si>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</si>
  <si>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</si>
  <si>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</si>
  <si>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</si>
  <si>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</si>
  <si>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</si>
  <si>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</si>
  <si>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</si>
  <si>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</si>
  <si>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</si>
  <si>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</si>
  <si>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</si>
  <si>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</si>
  <si>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</si>
  <si>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</si>
  <si>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</si>
  <si>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</si>
  <si>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</si>
  <si>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</si>
  <si>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</si>
  <si>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</si>
  <si>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</si>
  <si>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</si>
  <si>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</si>
  <si>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</si>
  <si>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</si>
  <si>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</si>
  <si>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</si>
  <si>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</si>
  <si>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</si>
  <si>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</si>
  <si>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</si>
  <si>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</si>
  <si>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</si>
  <si>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</si>
  <si>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</si>
  <si>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</si>
  <si>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</si>
  <si>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</si>
  <si>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</si>
  <si>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</si>
  <si>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</si>
  <si>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</si>
  <si>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</si>
  <si>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</si>
  <si>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</si>
  <si>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</si>
  <si>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</si>
  <si>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</si>
  <si>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</si>
  <si>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</si>
  <si>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</si>
  <si>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</si>
  <si>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</si>
  <si>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</si>
  <si>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</si>
  <si>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</si>
  <si>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</si>
  <si>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</si>
  <si>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Supporting Data</t>
  </si>
  <si>
    <t>PSO:</t>
  </si>
  <si>
    <t xml:space="preserve">KAMO </t>
  </si>
  <si>
    <t>Allen Holdenville</t>
  </si>
  <si>
    <t xml:space="preserve">SWEPCO: </t>
  </si>
  <si>
    <t>Unless noted (e.g., PSO), the loads reported on lines 1 through 20 are the customer's schedule 9 and 11 load.</t>
  </si>
  <si>
    <t>System Firm Peak Demands</t>
  </si>
  <si>
    <t>Sched - 9 12CP</t>
  </si>
  <si>
    <t>`</t>
  </si>
  <si>
    <t>PSO E&amp;W portion allocated to  WFEC zone</t>
  </si>
  <si>
    <t>100% PSO E&amp;W included in PSO native load</t>
  </si>
  <si>
    <t xml:space="preserve">PSO OATT Load Responsibility </t>
  </si>
  <si>
    <t>Dolet Hills Aux. Load (not self-generated)</t>
  </si>
  <si>
    <t xml:space="preserve">SWEPCO OATT Load Responsibility </t>
  </si>
  <si>
    <t>pr yr</t>
  </si>
  <si>
    <t>Sched - 11 12CP</t>
  </si>
  <si>
    <t>AEP Schedule 11 Worksheet</t>
  </si>
  <si>
    <t>PSO OATT Sched 9 load, Ln 1</t>
  </si>
  <si>
    <t>less GRDA load on PSO Jan-Nov(b) 2015 no longer used</t>
  </si>
  <si>
    <t xml:space="preserve">     WFEC load already subtracted  from PSO schedule 9 load line 1</t>
  </si>
  <si>
    <t>Subtotal PSO Schedule 11 load</t>
  </si>
  <si>
    <t>SWEPCO Sched 11 load, Ln 2</t>
  </si>
  <si>
    <t>TOTAL AEP Affiliate Schedule 11 Load</t>
  </si>
  <si>
    <t>TOTAL AEP ZONAL SCHEDULE 11</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</si>
  <si>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</si>
  <si>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</si>
  <si>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</si>
  <si>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</si>
  <si>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</si>
  <si>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</si>
  <si>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</si>
  <si>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</si>
  <si>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</si>
  <si>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</si>
  <si>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</si>
  <si>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</si>
  <si>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</si>
  <si>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</si>
  <si>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</si>
  <si>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</si>
  <si>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</si>
  <si>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</si>
  <si>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2821001</t>
  </si>
  <si>
    <t xml:space="preserve">   230A ACRS BENEFIT NORMALIZED - MJE</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</si>
  <si>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</si>
  <si>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</si>
  <si>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</si>
  <si>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</si>
  <si>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</si>
  <si>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</si>
  <si>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</si>
  <si>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</si>
  <si>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295D TAX LOSS ON PLANT RETIREMENTS</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</si>
  <si>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</si>
  <si>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</si>
  <si>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</si>
  <si>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</si>
  <si>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</si>
  <si>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</si>
  <si>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</si>
  <si>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</si>
  <si>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560K LOSS-ABANDONMENT S TIE - BK</t>
  </si>
  <si>
    <t xml:space="preserve">   651A IMPAIRED ASSETS RES-FAS 121-BK</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</si>
  <si>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</si>
  <si>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</si>
  <si>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</si>
  <si>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</si>
  <si>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</si>
  <si>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</si>
  <si>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</si>
  <si>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</si>
  <si>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</si>
  <si>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</si>
  <si>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2831001</t>
  </si>
  <si>
    <t xml:space="preserve">   014C-DSIT NOL-STATE C/F-DEF STATE TAX ASSET-L/T</t>
  </si>
  <si>
    <t xml:space="preserve">   575E MTM BK GAIN-A/L-TAX DEFL</t>
  </si>
  <si>
    <t xml:space="preserve">   575E-MJE MTM BK GAIN-A/L-TAX DEFL - MJE</t>
  </si>
  <si>
    <t xml:space="preserve">   576E MARK &amp; SPREAD-DEFL-283-A/L</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</si>
  <si>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</si>
  <si>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</si>
  <si>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</si>
  <si>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</si>
  <si>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</si>
  <si>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</si>
  <si>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</si>
  <si>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</si>
  <si>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</si>
  <si>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</si>
  <si>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</si>
  <si>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</si>
  <si>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664R REG ASSET-VALLEY DISTRICT DUE DILIGENCE</t>
  </si>
  <si>
    <t xml:space="preserve">   664S REG ASSET-VEMCO EMPLOYEE RETIREMENT</t>
  </si>
  <si>
    <t xml:space="preserve">   664U REG ASSET-VEMCO ACQUIS/INVESTMENTS</t>
  </si>
  <si>
    <t xml:space="preserve">   664V REG ASSET-NET CCS FEED STUDY COSTS</t>
  </si>
  <si>
    <t xml:space="preserve">   664X REG ASSET-SWEPCO/VEMCO TRANSACTION COST</t>
  </si>
  <si>
    <t xml:space="preserve">   668P REG ASSET-LA 2009 FRP ASSET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</si>
  <si>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</si>
  <si>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</si>
  <si>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</si>
  <si>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</si>
  <si>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</si>
  <si>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</si>
  <si>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</si>
  <si>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</si>
  <si>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</si>
  <si>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</si>
  <si>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</si>
  <si>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</si>
  <si>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</si>
  <si>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</si>
  <si>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</si>
  <si>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</si>
  <si>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1901001</t>
  </si>
  <si>
    <t xml:space="preserve">   011C</t>
  </si>
  <si>
    <t xml:space="preserve">   011C-DFIT TAX CREDIT C/F - DEF TAX ASSET</t>
  </si>
  <si>
    <t xml:space="preserve">   011C-MJE TAX CREDIT C/F - DEF TAX ASSET- MJE </t>
  </si>
  <si>
    <t xml:space="preserve">   433A</t>
  </si>
  <si>
    <t xml:space="preserve">   433A PUCT FUEL O/U RECOVERY-RETAIL</t>
  </si>
  <si>
    <t xml:space="preserve">   433B</t>
  </si>
  <si>
    <t xml:space="preserve">   433B INTEREST-FUEL OVER/UNDER RECOVERY</t>
  </si>
  <si>
    <t xml:space="preserve">   433C</t>
  </si>
  <si>
    <t xml:space="preserve">   433C AR - FUEL OVER/UNDER RECOVERY</t>
  </si>
  <si>
    <t xml:space="preserve">   433D</t>
  </si>
  <si>
    <t xml:space="preserve">   433D LA - FUEL OVER/UNDER RECOVERY</t>
  </si>
  <si>
    <t xml:space="preserve">   460A</t>
  </si>
  <si>
    <t xml:space="preserve">   460A UNBILLED REVENUE</t>
  </si>
  <si>
    <t xml:space="preserve">   520A</t>
  </si>
  <si>
    <t xml:space="preserve">   520A PROVS POSS REV REFDS-A/L</t>
  </si>
  <si>
    <t xml:space="preserve">   576F</t>
  </si>
  <si>
    <t xml:space="preserve">   576F MARK &amp; SPREAD-DEFL-190-A/L</t>
  </si>
  <si>
    <t xml:space="preserve">   602A</t>
  </si>
  <si>
    <t xml:space="preserve">   602A PROV WORKER'S COMP</t>
  </si>
  <si>
    <t xml:space="preserve">   605E</t>
  </si>
  <si>
    <t xml:space="preserve">   605E SUPPLEMENTAL EXECUTIVE RETIREMENT PLAN</t>
  </si>
  <si>
    <t xml:space="preserve">   605F</t>
  </si>
  <si>
    <t xml:space="preserve">   605F ACCRD SUP EXEC RETIR PLAN COSTS-SFAS 158</t>
  </si>
  <si>
    <t xml:space="preserve">   605I</t>
  </si>
  <si>
    <t xml:space="preserve">   605I ACCRD BK SUP. SAVINGS PLAN EXP</t>
  </si>
  <si>
    <t xml:space="preserve">   605J</t>
  </si>
  <si>
    <t xml:space="preserve">   605J EMPLOYER SAVINGS PLAN MATCH</t>
  </si>
  <si>
    <t xml:space="preserve">   605K</t>
  </si>
  <si>
    <t xml:space="preserve">   605K ACCRUED BK BENEFIT COSTS</t>
  </si>
  <si>
    <t xml:space="preserve">   605O</t>
  </si>
  <si>
    <t xml:space="preserve">   605O ACCRUED PSI PLAN EXP</t>
  </si>
  <si>
    <t xml:space="preserve">   610A</t>
  </si>
  <si>
    <t xml:space="preserve">   610A BK PROV UNCOLL ACCTS - ST</t>
  </si>
  <si>
    <t xml:space="preserve">   610U</t>
  </si>
  <si>
    <t xml:space="preserve">   610U PROV-TRADING CREDIT RISK - A/L</t>
  </si>
  <si>
    <t xml:space="preserve">   610V</t>
  </si>
  <si>
    <t xml:space="preserve">   610V PROV-FAS 157 - A/L</t>
  </si>
  <si>
    <t xml:space="preserve">   611E</t>
  </si>
  <si>
    <t xml:space="preserve">   611E ACCRUED MINE RECLAMATION</t>
  </si>
  <si>
    <t xml:space="preserve">   611G</t>
  </si>
  <si>
    <t xml:space="preserve">   611G DEFD COMPENSATION-BOOK EXPENSE</t>
  </si>
  <si>
    <t xml:space="preserve">   612Y</t>
  </si>
  <si>
    <t xml:space="preserve">   612Y ACCRD COMPANYWIDE INCENTV PLAN</t>
  </si>
  <si>
    <t xml:space="preserve">   613C</t>
  </si>
  <si>
    <t xml:space="preserve">   613C ACCRD ENVIRONMENTAL LIAB-CURRENT</t>
  </si>
  <si>
    <t xml:space="preserve">   613E</t>
  </si>
  <si>
    <t xml:space="preserve">   613E ACCRUED BOOK VACATION PAY</t>
  </si>
  <si>
    <t xml:space="preserve">   613F</t>
  </si>
  <si>
    <t xml:space="preserve">   613F ACCRD ENVIRONMENTAL LIAB-LONG TERM </t>
  </si>
  <si>
    <t xml:space="preserve">   613K</t>
  </si>
  <si>
    <t xml:space="preserve">   613K (ICDP)-INCENTIVE COMP DEFERRAL PLAN</t>
  </si>
  <si>
    <t xml:space="preserve">   614M</t>
  </si>
  <si>
    <t xml:space="preserve">   614M PROV - UNCLAIMED FUNDS AUDIT LIABILITIES</t>
  </si>
  <si>
    <t xml:space="preserve">   615A</t>
  </si>
  <si>
    <t xml:space="preserve">   615A ACCRUED INTEREST EXP -STATE</t>
  </si>
  <si>
    <t xml:space="preserve">   615B</t>
  </si>
  <si>
    <t xml:space="preserve">   615B ACCRUED INTEREST-LONG-TERM - FIN 48</t>
  </si>
  <si>
    <t xml:space="preserve">   615B-MJE ACCRD INTRST-TAX RES-L/T-FIN 48-MJE</t>
  </si>
  <si>
    <t xml:space="preserve">   615C</t>
  </si>
  <si>
    <t xml:space="preserve">   615C ACCRUED INTEREST-SHORT-TERM - FIN 48</t>
  </si>
  <si>
    <t xml:space="preserve">   615C-MJE ACCRD INTRST-TAX RES-S/T-FIN 48-MJE</t>
  </si>
  <si>
    <t xml:space="preserve">   615E ACCRUED STATE INCOME TAX EXP</t>
  </si>
  <si>
    <t xml:space="preserve">   615O</t>
  </si>
  <si>
    <t xml:space="preserve">   615O BK DFL RAIL TRANS REV/EXP</t>
  </si>
  <si>
    <t xml:space="preserve">   639A</t>
  </si>
  <si>
    <t xml:space="preserve">   639A DEFD BK GAIN-NON-AFF SALE-EMA</t>
  </si>
  <si>
    <t xml:space="preserve">   641I</t>
  </si>
  <si>
    <t xml:space="preserve">   641I ADVANCE RENTAL INC (CUR MO)</t>
  </si>
  <si>
    <t xml:space="preserve">   641X</t>
  </si>
  <si>
    <t xml:space="preserve">   641X DEFERRED INCOME - DOLET HILLS MINING BUYOUT</t>
  </si>
  <si>
    <t xml:space="preserve">   651F</t>
  </si>
  <si>
    <t xml:space="preserve">   651F DISALLOWED COSTS - TURK PLANT</t>
  </si>
  <si>
    <t xml:space="preserve">   651H</t>
  </si>
  <si>
    <t xml:space="preserve">   651H DISALLOWED COSTS - TURK PLANT AUX BOILER</t>
  </si>
  <si>
    <t xml:space="preserve">   652G</t>
  </si>
  <si>
    <t xml:space="preserve">   652G REG LIAB-UNREAL MTM GAIN-DEFL</t>
  </si>
  <si>
    <t xml:space="preserve">   664G</t>
  </si>
  <si>
    <t xml:space="preserve">   664G REG LIAB-MIRROR AFUDC-LA</t>
  </si>
  <si>
    <t xml:space="preserve">   701A</t>
  </si>
  <si>
    <t xml:space="preserve">   701A AMORT - GOODWILL PER BOOKS</t>
  </si>
  <si>
    <t xml:space="preserve">   702A</t>
  </si>
  <si>
    <t xml:space="preserve">   702A GOODWILL PER TAX</t>
  </si>
  <si>
    <t xml:space="preserve">   710H</t>
  </si>
  <si>
    <t xml:space="preserve">   710H AMORT ELEC PLT ACQ ADJS</t>
  </si>
  <si>
    <t xml:space="preserve">   906F</t>
  </si>
  <si>
    <t xml:space="preserve">   906F ACCRD OPEB COSTS - SFAS 158</t>
  </si>
  <si>
    <t xml:space="preserve">   906P</t>
  </si>
  <si>
    <t xml:space="preserve">   906P ACCRD BOOK ARO EXPENSE - SFAS 143</t>
  </si>
  <si>
    <t xml:space="preserve">   911F</t>
  </si>
  <si>
    <t xml:space="preserve">   911F-FIN48 FIN 48 DSIT</t>
  </si>
  <si>
    <t xml:space="preserve">   911Q-DSIT DSIT ENTRY - NORMALIZED</t>
  </si>
  <si>
    <t xml:space="preserve">   911S ACCRUED SALES &amp; USE TAX RESERVE</t>
  </si>
  <si>
    <t xml:space="preserve">   911S ACCRUED SALES &amp; USE TAX RESERVE - MJE</t>
  </si>
  <si>
    <t xml:space="preserve">   911V</t>
  </si>
  <si>
    <t xml:space="preserve">   911V ACCRD SIT TX RESERVE-LNG-TERM-FIN 48</t>
  </si>
  <si>
    <t xml:space="preserve">   911V-MJE ACCRD SIT TX RES-LNG-TERM-FIN 48-MJE</t>
  </si>
  <si>
    <t xml:space="preserve">   911W</t>
  </si>
  <si>
    <t xml:space="preserve">   911W ACCRD SIT TX RESERVE-SHRT-TERM-FIN 48</t>
  </si>
  <si>
    <t xml:space="preserve">   940X</t>
  </si>
  <si>
    <t xml:space="preserve">   940X IRS CAPITALIZATION ADJUSTMENT</t>
  </si>
  <si>
    <t xml:space="preserve">   960E</t>
  </si>
  <si>
    <t xml:space="preserve">   960E AMT CREDIT - DEFERRED</t>
  </si>
  <si>
    <t xml:space="preserve">   960Z</t>
  </si>
  <si>
    <t xml:space="preserve">   960Z NOL - DEFERRED TAX ASSET RECLASS</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</si>
  <si>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</si>
  <si>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</si>
  <si>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</si>
  <si>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</si>
  <si>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</si>
  <si>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</si>
  <si>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</si>
  <si>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</si>
  <si>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</si>
  <si>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 xml:space="preserve">   230A</t>
  </si>
  <si>
    <t xml:space="preserve">   230A-MJE</t>
  </si>
  <si>
    <t xml:space="preserve">   230I</t>
  </si>
  <si>
    <t xml:space="preserve">   230J</t>
  </si>
  <si>
    <t xml:space="preserve">   230X</t>
  </si>
  <si>
    <t xml:space="preserve">   280H</t>
  </si>
  <si>
    <t xml:space="preserve">   295A</t>
  </si>
  <si>
    <t xml:space="preserve">   295C</t>
  </si>
  <si>
    <t xml:space="preserve">   295D</t>
  </si>
  <si>
    <t xml:space="preserve">   320A</t>
  </si>
  <si>
    <t xml:space="preserve">   380J</t>
  </si>
  <si>
    <t xml:space="preserve">   390A</t>
  </si>
  <si>
    <t xml:space="preserve">   510H</t>
  </si>
  <si>
    <t xml:space="preserve">   532A</t>
  </si>
  <si>
    <t xml:space="preserve">   532C</t>
  </si>
  <si>
    <t xml:space="preserve">   532D</t>
  </si>
  <si>
    <t xml:space="preserve">   534A</t>
  </si>
  <si>
    <t xml:space="preserve">   651A</t>
  </si>
  <si>
    <t xml:space="preserve">   711N</t>
  </si>
  <si>
    <t xml:space="preserve">   711O</t>
  </si>
  <si>
    <t xml:space="preserve">   712K</t>
  </si>
  <si>
    <t xml:space="preserve">   910K</t>
  </si>
  <si>
    <t xml:space="preserve">   930A</t>
  </si>
  <si>
    <t xml:space="preserve">   960F</t>
  </si>
  <si>
    <t xml:space="preserve">   014C</t>
  </si>
  <si>
    <t xml:space="preserve">   575E</t>
  </si>
  <si>
    <t xml:space="preserve">   576E</t>
  </si>
  <si>
    <t xml:space="preserve">   605B</t>
  </si>
  <si>
    <t xml:space="preserve">   605C</t>
  </si>
  <si>
    <t xml:space="preserve">   630J</t>
  </si>
  <si>
    <t xml:space="preserve">   630M</t>
  </si>
  <si>
    <t xml:space="preserve">   632U</t>
  </si>
  <si>
    <t xml:space="preserve">   638A</t>
  </si>
  <si>
    <t xml:space="preserve">   661R</t>
  </si>
  <si>
    <t xml:space="preserve">   661S</t>
  </si>
  <si>
    <t xml:space="preserve">   661T</t>
  </si>
  <si>
    <t xml:space="preserve">   900A</t>
  </si>
  <si>
    <t xml:space="preserve">   906A</t>
  </si>
  <si>
    <t xml:space="preserve">   906D</t>
  </si>
  <si>
    <t xml:space="preserve">   906Z</t>
  </si>
  <si>
    <t xml:space="preserve">   913Y</t>
  </si>
  <si>
    <t xml:space="preserve">   911Q</t>
  </si>
  <si>
    <t xml:space="preserve">   011C-MJE</t>
  </si>
  <si>
    <t xml:space="preserve">   615B-MJE</t>
  </si>
  <si>
    <t xml:space="preserve">   906K</t>
  </si>
  <si>
    <t xml:space="preserve">   911V-MJE</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</si>
  <si>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</si>
  <si>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</si>
  <si>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</si>
  <si>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</si>
  <si>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</si>
  <si>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</si>
  <si>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</si>
  <si>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</si>
  <si>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</si>
  <si>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</si>
  <si>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</si>
  <si>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</si>
  <si>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</si>
  <si>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</si>
  <si>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</si>
  <si>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</si>
  <si>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</si>
  <si>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</si>
  <si>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</si>
  <si>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</si>
  <si>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</si>
  <si>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</si>
  <si>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</si>
  <si>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</si>
  <si>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</si>
  <si>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</si>
  <si>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</si>
  <si>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</si>
  <si>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</si>
  <si>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</si>
  <si>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</si>
  <si>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</si>
  <si>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</si>
  <si>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</si>
  <si>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</si>
  <si>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</si>
  <si>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</si>
  <si>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</si>
  <si>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</si>
  <si>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</si>
  <si>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</si>
  <si>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</si>
  <si>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</si>
  <si>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</si>
  <si>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</si>
  <si>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</si>
  <si>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</si>
  <si>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</si>
  <si>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</si>
  <si>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</si>
  <si>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</si>
  <si>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</si>
  <si>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</si>
  <si>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</si>
  <si>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</si>
  <si>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</si>
  <si>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</si>
  <si>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</si>
  <si>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</si>
  <si>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</si>
  <si>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</si>
  <si>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</si>
  <si>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</si>
  <si>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</si>
  <si>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PSO (2)</t>
  </si>
  <si>
    <t>SWEPCO excl Valley (2)</t>
  </si>
  <si>
    <t>AECC (3)</t>
  </si>
  <si>
    <t>AECC-MISO</t>
  </si>
  <si>
    <t>WFEC (3)</t>
  </si>
  <si>
    <t>OMPA (3)</t>
  </si>
  <si>
    <t>OG&amp;E - TALL BEAR (3)</t>
  </si>
  <si>
    <t>ETEC (3)</t>
  </si>
  <si>
    <t>GREENBELT (3)</t>
  </si>
  <si>
    <t>LIGHTHOUSE (3)</t>
  </si>
  <si>
    <t>BENTONVILLE, AR (3)</t>
  </si>
  <si>
    <t>PRESCOTT, AR (3)</t>
  </si>
  <si>
    <t>MINDEN, LA (3)</t>
  </si>
  <si>
    <t>HOPE, AR (3)</t>
  </si>
  <si>
    <t>COFFEYVILLE, KS (3)</t>
  </si>
  <si>
    <t>SWEPCO - VALLEY</t>
  </si>
  <si>
    <t>PSO Native Load (2) (4)</t>
  </si>
  <si>
    <t>GRDA load on PSO no longer used as of Dec 2015 (5)</t>
  </si>
  <si>
    <t>SWEPCO Native Load (2)(5)</t>
  </si>
  <si>
    <t>Less: VALLEY</t>
  </si>
  <si>
    <t xml:space="preserve">NOTES:  </t>
  </si>
  <si>
    <t xml:space="preserve"> (1) Amounts are MW at the time of the AEP-SPP Internal (MLR) Peak</t>
  </si>
  <si>
    <t xml:space="preserve"> (2) At the generator, includes transmission losses.</t>
  </si>
  <si>
    <t xml:space="preserve"> (3) At the generator. Transmission losses added to metered values which include appropriate dist.&amp; xfmr losses.</t>
  </si>
  <si>
    <t>[4] PSO Native load includes PSO load on GRDA</t>
  </si>
  <si>
    <t xml:space="preserve"> (5) SWEPCO Native Load includes Valley</t>
  </si>
  <si>
    <t>Company Records</t>
  </si>
  <si>
    <t>U</t>
  </si>
  <si>
    <t>230A</t>
  </si>
  <si>
    <t>230A-MJE</t>
  </si>
  <si>
    <t>230I</t>
  </si>
  <si>
    <t>230J</t>
  </si>
  <si>
    <t>230X</t>
  </si>
  <si>
    <t>234Q</t>
  </si>
  <si>
    <t>260A</t>
  </si>
  <si>
    <t>280H</t>
  </si>
  <si>
    <t>295A</t>
  </si>
  <si>
    <t>295C</t>
  </si>
  <si>
    <t>295D</t>
  </si>
  <si>
    <t>320A</t>
  </si>
  <si>
    <t>380J</t>
  </si>
  <si>
    <t>390A</t>
  </si>
  <si>
    <t>510H</t>
  </si>
  <si>
    <t>532A</t>
  </si>
  <si>
    <t>532C</t>
  </si>
  <si>
    <t>532D</t>
  </si>
  <si>
    <t>534A</t>
  </si>
  <si>
    <t>560K</t>
  </si>
  <si>
    <t>651A</t>
  </si>
  <si>
    <t>662A</t>
  </si>
  <si>
    <t>662B</t>
  </si>
  <si>
    <t>680A</t>
  </si>
  <si>
    <t>710W</t>
  </si>
  <si>
    <t>711N</t>
  </si>
  <si>
    <t>711O</t>
  </si>
  <si>
    <t>712K</t>
  </si>
  <si>
    <t>910J</t>
  </si>
  <si>
    <t>910K</t>
  </si>
  <si>
    <t>910W</t>
  </si>
  <si>
    <t>014C-DSIT</t>
  </si>
  <si>
    <t>575E</t>
  </si>
  <si>
    <t>575E-MJE</t>
  </si>
  <si>
    <t>576E</t>
  </si>
  <si>
    <t>605B</t>
  </si>
  <si>
    <t>605C</t>
  </si>
  <si>
    <t>630J</t>
  </si>
  <si>
    <t>630M</t>
  </si>
  <si>
    <t>632U</t>
  </si>
  <si>
    <t>638A</t>
  </si>
  <si>
    <t>660A</t>
  </si>
  <si>
    <t>660F</t>
  </si>
  <si>
    <t>661R</t>
  </si>
  <si>
    <t>661S</t>
  </si>
  <si>
    <t>661T</t>
  </si>
  <si>
    <t>664A</t>
  </si>
  <si>
    <t>664R</t>
  </si>
  <si>
    <t>664S</t>
  </si>
  <si>
    <t>664U</t>
  </si>
  <si>
    <t>664V</t>
  </si>
  <si>
    <t>664X</t>
  </si>
  <si>
    <t>668P</t>
  </si>
  <si>
    <t>669X</t>
  </si>
  <si>
    <t>669Y</t>
  </si>
  <si>
    <t>670O</t>
  </si>
  <si>
    <t>672P</t>
  </si>
  <si>
    <t>673J</t>
  </si>
  <si>
    <t>673K</t>
  </si>
  <si>
    <t>900A</t>
  </si>
  <si>
    <t>900F</t>
  </si>
  <si>
    <t>906A</t>
  </si>
  <si>
    <t>906D</t>
  </si>
  <si>
    <t>906K</t>
  </si>
  <si>
    <t>906Z</t>
  </si>
  <si>
    <t>913Y</t>
  </si>
  <si>
    <t>921A</t>
  </si>
  <si>
    <t>930A</t>
  </si>
  <si>
    <t>940K</t>
  </si>
  <si>
    <t>911Q-DSIT</t>
  </si>
  <si>
    <t>DSIT ENTRY - NORMALIZED</t>
  </si>
  <si>
    <t xml:space="preserve">   011C-DFIT</t>
  </si>
  <si>
    <t xml:space="preserve">   615E</t>
  </si>
  <si>
    <t xml:space="preserve">   911Q-DSIT</t>
  </si>
  <si>
    <t xml:space="preserve">   911S</t>
  </si>
  <si>
    <t xml:space="preserve">   230A ACRS TRANSMISSION SERVING GENERATION</t>
  </si>
  <si>
    <t xml:space="preserve">   230A ACRS BENEFIT NORMALIZED, EXCLUDING TSG</t>
  </si>
  <si>
    <t>PUBLIC SERVICE COMPANY OF OKLAHOMA</t>
  </si>
  <si>
    <t xml:space="preserve">State Income Tax Rate - </t>
  </si>
  <si>
    <t>Prepaid Carry Cost-Factored</t>
  </si>
  <si>
    <t>Trinity Rail Car Lease - Non-current</t>
  </si>
  <si>
    <t xml:space="preserve">   210E</t>
  </si>
  <si>
    <t xml:space="preserve">   210E LIBERALIZED DEPR-ELIG DFL</t>
  </si>
  <si>
    <t xml:space="preserve">   230G</t>
  </si>
  <si>
    <t xml:space="preserve">   230G ACRS-ACCRUED BK REMOVAL COSTS</t>
  </si>
  <si>
    <t xml:space="preserve">   630R</t>
  </si>
  <si>
    <t xml:space="preserve">   630R ACCRD ENERGY CONSERV EXPEND</t>
  </si>
  <si>
    <t xml:space="preserve">   710T</t>
  </si>
  <si>
    <t xml:space="preserve">   710T AMORT CHELSEA MUN AUTH-TX</t>
  </si>
  <si>
    <t xml:space="preserve">   710U</t>
  </si>
  <si>
    <t xml:space="preserve">   710U CHELSEA ACQUSITON ADJ-25 YR TX</t>
  </si>
  <si>
    <t xml:space="preserve">   710V</t>
  </si>
  <si>
    <t xml:space="preserve">   710V PLANT ACQUSITION ADJ-CSIAP-TX</t>
  </si>
  <si>
    <t xml:space="preserve">   910N</t>
  </si>
  <si>
    <t xml:space="preserve">   910N ACCRUED BK REMOVAL COST - ACRS</t>
  </si>
  <si>
    <t xml:space="preserve">   930J</t>
  </si>
  <si>
    <t xml:space="preserve">   930J PROV FOR WRITEDOWN OF INVEST</t>
  </si>
  <si>
    <t xml:space="preserve">   940I</t>
  </si>
  <si>
    <t xml:space="preserve">   940I 1985-1987 IRS AUDIT SETTLEMENT</t>
  </si>
  <si>
    <t xml:space="preserve">   014A</t>
  </si>
  <si>
    <t xml:space="preserve">   014A-DSITC ADSITC STATE C/F-DEF STATE TAX ASSET-L/T</t>
  </si>
  <si>
    <t xml:space="preserve">   533I</t>
  </si>
  <si>
    <t xml:space="preserve">   533I INDIAN RESERVATION SECTION 481a ADJUSTMENT</t>
  </si>
  <si>
    <t xml:space="preserve">   612E</t>
  </si>
  <si>
    <t xml:space="preserve">   612E ACCRUED RAIL SETTLEMENT - BNFS</t>
  </si>
  <si>
    <t xml:space="preserve">   660M</t>
  </si>
  <si>
    <t xml:space="preserve">   660M REG ASSET-CARRY COST ON STRANDED COST</t>
  </si>
  <si>
    <t xml:space="preserve">   660N</t>
  </si>
  <si>
    <t xml:space="preserve">   660N REG ASSET-DEFD CARRY COST ON STRANDED COST </t>
  </si>
  <si>
    <t xml:space="preserve">   660R</t>
  </si>
  <si>
    <t xml:space="preserve">   660R REG ASSET-DEFD ACCR VEGETATION MGT EXPENSE</t>
  </si>
  <si>
    <t xml:space="preserve">   661V</t>
  </si>
  <si>
    <t xml:space="preserve">   661V REG ASSET-RED ROCK FACILITY</t>
  </si>
  <si>
    <t xml:space="preserve">   663C</t>
  </si>
  <si>
    <t xml:space="preserve">   663C REG ASSET-GENERATION MAINTENANCE EXP</t>
  </si>
  <si>
    <t xml:space="preserve">   664E</t>
  </si>
  <si>
    <t xml:space="preserve">   664E REG ASSET-NON-AMI METERS</t>
  </si>
  <si>
    <t xml:space="preserve">   664F</t>
  </si>
  <si>
    <t xml:space="preserve">   664F REG ASSET-NON-AMI METERS - AMORT</t>
  </si>
  <si>
    <t xml:space="preserve">   665G</t>
  </si>
  <si>
    <t xml:space="preserve">   665G REG ASSET-UND/REC PSO BPF</t>
  </si>
  <si>
    <t xml:space="preserve">   669B</t>
  </si>
  <si>
    <t xml:space="preserve">   669B REG ASSET-DEFERRED SRR RIDER EXPENSES</t>
  </si>
  <si>
    <t xml:space="preserve">   673H</t>
  </si>
  <si>
    <t xml:space="preserve">   673H REG ASSET-NE3/COMANCHE ENVIRON DEF  </t>
  </si>
  <si>
    <t xml:space="preserve">   673I</t>
  </si>
  <si>
    <t xml:space="preserve">   673I REG ASSET-NE3/COMANCHE ENVIRON-CONTRA</t>
  </si>
  <si>
    <t xml:space="preserve">   960X</t>
  </si>
  <si>
    <t xml:space="preserve">   960X STATE NOL CURRENT BENEFIT</t>
  </si>
  <si>
    <t xml:space="preserve">   014A ACCUM DITC-STATE-A/C 2550002</t>
  </si>
  <si>
    <t xml:space="preserve">   433F</t>
  </si>
  <si>
    <t xml:space="preserve">   433F PSO-FUEL O/U RECOVERY-WSLE</t>
  </si>
  <si>
    <t xml:space="preserve">   613Y</t>
  </si>
  <si>
    <t xml:space="preserve">   613Y ACCRUED BK SEVERANCE BENEFITS</t>
  </si>
  <si>
    <t xml:space="preserve">   663U</t>
  </si>
  <si>
    <t xml:space="preserve">   663U REG ASSET-DEFERRED BASE LOAD PUR PWR</t>
  </si>
  <si>
    <t xml:space="preserve">   712P</t>
  </si>
  <si>
    <t xml:space="preserve">   712P PROF SERVICES CAPITALIZED-TX</t>
  </si>
  <si>
    <t xml:space="preserve">   014A-MJE</t>
  </si>
  <si>
    <t xml:space="preserve">   014A ACCUM DITC-STATE-A/C 2550002-MJE</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</si>
  <si>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</si>
  <si>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</si>
  <si>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</si>
  <si>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</si>
  <si>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</si>
  <si>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</si>
  <si>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</si>
  <si>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</si>
  <si>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</si>
  <si>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</si>
  <si>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</si>
  <si>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</si>
  <si>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</si>
  <si>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Forecast Adjustment to 283</t>
  </si>
  <si>
    <t>Forecast Adjustment to 282</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</si>
  <si>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</si>
  <si>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</si>
  <si>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</si>
  <si>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</si>
  <si>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</si>
  <si>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</si>
  <si>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</si>
  <si>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</si>
  <si>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</si>
  <si>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</si>
  <si>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</si>
  <si>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</si>
  <si>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</si>
  <si>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</si>
  <si>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</si>
  <si>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</si>
  <si>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</si>
  <si>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</si>
  <si>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</si>
  <si>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</si>
  <si>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</si>
  <si>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</si>
  <si>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</si>
  <si>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</si>
  <si>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</si>
  <si>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</si>
  <si>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</si>
  <si>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</si>
  <si>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</si>
  <si>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</si>
  <si>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</si>
  <si>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</si>
  <si>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</si>
  <si>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</si>
  <si>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</si>
  <si>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</si>
  <si>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</si>
  <si>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</si>
  <si>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</si>
  <si>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</si>
  <si>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</si>
  <si>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</si>
  <si>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</si>
  <si>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</si>
  <si>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</si>
  <si>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</si>
  <si>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</si>
  <si>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</si>
  <si>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</si>
  <si>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</si>
  <si>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</si>
  <si>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</si>
  <si>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</si>
  <si>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</si>
  <si>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</si>
  <si>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</si>
  <si>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</si>
  <si>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</si>
  <si>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</si>
  <si>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</si>
  <si>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</si>
  <si>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</si>
  <si>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</si>
  <si>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</si>
  <si>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</si>
  <si>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</si>
  <si>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</si>
  <si>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</si>
  <si>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</si>
  <si>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</si>
  <si>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</si>
  <si>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</si>
  <si>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</si>
  <si>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</si>
  <si>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</si>
  <si>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</si>
  <si>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</si>
  <si>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</si>
  <si>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</si>
  <si>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</si>
  <si>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</si>
  <si>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</si>
  <si>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</si>
  <si>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</si>
  <si>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</si>
  <si>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</si>
  <si>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</si>
  <si>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</si>
  <si>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</si>
  <si>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</si>
  <si>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</si>
  <si>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</si>
  <si>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</si>
  <si>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</si>
  <si>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</si>
  <si>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</si>
  <si>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</si>
  <si>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</si>
  <si>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</si>
  <si>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</si>
  <si>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</si>
  <si>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</si>
  <si>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</si>
  <si>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</si>
  <si>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</si>
  <si>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</si>
  <si>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</si>
  <si>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</si>
  <si>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</si>
  <si>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</si>
  <si>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</si>
  <si>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</si>
  <si>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</si>
  <si>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</si>
  <si>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</si>
  <si>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</si>
  <si>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</si>
  <si>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</si>
  <si>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</si>
  <si>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</si>
  <si>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</si>
  <si>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</si>
  <si>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</si>
  <si>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</si>
  <si>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</si>
  <si>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</si>
  <si>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EFFECTIVE AS OF 06/01/2018</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</si>
  <si>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</si>
  <si>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</si>
  <si>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</si>
  <si>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</si>
  <si>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</si>
  <si>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</si>
  <si>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</si>
  <si>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</si>
  <si>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</si>
  <si>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</si>
  <si>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</si>
  <si>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</si>
  <si>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</si>
  <si>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</si>
  <si>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</si>
  <si>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</si>
  <si>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</si>
  <si>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</si>
  <si>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</si>
  <si>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</si>
  <si>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</si>
  <si>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</si>
  <si>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3.  Arkansas depreciation rates were approved in 2009 per a Settlement agreement in Docket 09-008-U.  Staff rates were approved and made effective on December 1, 2009.</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</si>
  <si>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</si>
  <si>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</si>
  <si>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</si>
  <si>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</si>
  <si>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</si>
  <si>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</si>
  <si>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</si>
  <si>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</si>
  <si>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</si>
  <si>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</si>
  <si>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</si>
  <si>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</si>
  <si>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</si>
  <si>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</si>
  <si>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</si>
  <si>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</si>
  <si>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</si>
  <si>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</si>
  <si>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</si>
  <si>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</si>
  <si>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</si>
  <si>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</si>
  <si>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</si>
  <si>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 xml:space="preserve">   960F-XS EXCESS ADFIT 282 PROTECTED</t>
  </si>
  <si>
    <t xml:space="preserve">   960F-XS EXCESS ADFIT 282 UNPROTECTED</t>
  </si>
  <si>
    <t>WS C-4</t>
  </si>
  <si>
    <t xml:space="preserve">   960F-XS EXCESS ADFIT 283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</si>
  <si>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</si>
  <si>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</si>
  <si>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</si>
  <si>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</si>
  <si>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</si>
  <si>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</si>
  <si>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</si>
  <si>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</si>
  <si>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</si>
  <si>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</si>
  <si>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 xml:space="preserve">Actual / Projected 2018 Rate Year Cost of Service Formula Rate </t>
  </si>
  <si>
    <t>Non-Allocable Taxes</t>
  </si>
  <si>
    <t>UNFUNDED RESERVES (ENTER NEGATIVE) (NOTE U)</t>
  </si>
  <si>
    <t>Balance  per Books- Transmission Function only (190 enter positive, 282/283 enter negative)</t>
  </si>
  <si>
    <t xml:space="preserve">   230A ACRS BENEFIT NORMALIZED</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</si>
  <si>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</si>
  <si>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</si>
  <si>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</si>
  <si>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</si>
  <si>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</si>
  <si>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</si>
  <si>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</si>
  <si>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</si>
  <si>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</si>
  <si>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</si>
  <si>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</si>
  <si>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</si>
  <si>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</si>
  <si>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</si>
  <si>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</si>
  <si>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</si>
  <si>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</si>
  <si>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</si>
  <si>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</si>
  <si>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</si>
  <si>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</si>
  <si>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</si>
  <si>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</si>
  <si>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</si>
  <si>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</si>
  <si>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</si>
  <si>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</si>
  <si>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</si>
  <si>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</si>
  <si>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</si>
  <si>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</si>
  <si>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</si>
  <si>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</si>
  <si>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</si>
  <si>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</si>
  <si>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</si>
  <si>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</si>
  <si>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</si>
  <si>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</si>
  <si>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</si>
  <si>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</si>
  <si>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</si>
  <si>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</si>
  <si>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</si>
  <si>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</si>
  <si>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</si>
  <si>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</si>
  <si>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</si>
  <si>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</si>
  <si>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</si>
  <si>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</si>
  <si>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</si>
  <si>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</si>
  <si>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</si>
  <si>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</si>
  <si>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</si>
  <si>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</si>
  <si>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</si>
  <si>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</si>
  <si>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</si>
  <si>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</si>
  <si>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</si>
  <si>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</si>
  <si>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</si>
  <si>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</si>
  <si>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</si>
  <si>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</si>
  <si>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</si>
  <si>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</si>
  <si>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</si>
  <si>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</si>
  <si>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</si>
  <si>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</si>
  <si>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</si>
  <si>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</si>
  <si>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</si>
  <si>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</si>
  <si>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</si>
  <si>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</si>
  <si>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</si>
  <si>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</si>
  <si>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</si>
  <si>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</si>
  <si>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</si>
  <si>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</si>
  <si>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</si>
  <si>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</si>
  <si>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</si>
  <si>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</si>
  <si>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</si>
  <si>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</si>
  <si>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</si>
  <si>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</si>
  <si>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AEP West Member Operating Companies</t>
  </si>
  <si>
    <t>Cash Revenue Collections for True-up Year, Net of Schedule 11 Revenue Credits</t>
  </si>
  <si>
    <t>Cash Revenue Collections for True-up Year, Net of Schedule 9 Revenue Credits</t>
  </si>
  <si>
    <t>Cash Revenue Collections for True-up Year, Net of Schedule 1 Revenue Credits</t>
  </si>
  <si>
    <t>OG&amp;E - LSE</t>
  </si>
  <si>
    <t>AECI</t>
  </si>
  <si>
    <t>Average of the Beginning and End of Year Balances</t>
  </si>
  <si>
    <t>Beginning/Ending Average</t>
  </si>
  <si>
    <t>Beginning/Ending Average balance</t>
  </si>
  <si>
    <t>Based on West Zone-SPP Monthly Transmission System Firm Peak Demands for the Twelve Months Ended December 31, 2018</t>
  </si>
  <si>
    <t>165001217/18</t>
  </si>
  <si>
    <t>165001117/18</t>
  </si>
  <si>
    <t>State Income Tax Rate - Texas</t>
  </si>
  <si>
    <t>State Income Tax Rate - Arkansas</t>
  </si>
  <si>
    <t>State Income Tax Rate - Louisiana</t>
  </si>
  <si>
    <t>State Income Tax Rate - Nebraska</t>
  </si>
  <si>
    <t xml:space="preserve">   TCJA</t>
  </si>
  <si>
    <t xml:space="preserve">   TCJA-282.1 TCJA - ACCT 2821001 - MJE</t>
  </si>
  <si>
    <t>533J</t>
  </si>
  <si>
    <t xml:space="preserve">   533J</t>
  </si>
  <si>
    <t xml:space="preserve">   533J TX ACCEL AMORT - CAPITALIZED SOFTWARE</t>
  </si>
  <si>
    <t xml:space="preserve">   014W</t>
  </si>
  <si>
    <t xml:space="preserve">   014W-DSIT STATE CREDIT C/F-VALUATION ALLOWANCE</t>
  </si>
  <si>
    <t xml:space="preserve">   673S</t>
  </si>
  <si>
    <t xml:space="preserve">   673X</t>
  </si>
  <si>
    <t xml:space="preserve">   673S REG ASSET-INDEPENDENT EVALUATOR DEFRL</t>
  </si>
  <si>
    <t xml:space="preserve">   673X REG ASSET-WIND CATCHER COST RECOV</t>
  </si>
  <si>
    <t xml:space="preserve">   661U</t>
  </si>
  <si>
    <t xml:space="preserve">   661U REG ASSET-LAWTON SETTLEMENT</t>
  </si>
  <si>
    <t xml:space="preserve">   605P</t>
  </si>
  <si>
    <t xml:space="preserve">   605P STOCK BASED COMP-CAREER SHARES</t>
  </si>
  <si>
    <t xml:space="preserve">   642B</t>
  </si>
  <si>
    <t xml:space="preserve">   642C</t>
  </si>
  <si>
    <t xml:space="preserve">   642B DEFD REV-BONUS LEASE SHORT-TERM</t>
  </si>
  <si>
    <t xml:space="preserve">   642C DEFD REV-BONUS LEASE LONG-TERM</t>
  </si>
  <si>
    <t xml:space="preserve">   980A</t>
  </si>
  <si>
    <t xml:space="preserve">   980J</t>
  </si>
  <si>
    <t xml:space="preserve">   980A RESTRICTED STOCK PLAN</t>
  </si>
  <si>
    <t xml:space="preserve">   980J PSI - STOCK BASED COMP</t>
  </si>
  <si>
    <t xml:space="preserve">  533J TX ACCEL AMORT - CAPITALIZED SOFTWARE</t>
  </si>
  <si>
    <t>014C</t>
  </si>
  <si>
    <t xml:space="preserve">  014C-AR NOL-STATE C/F-DEF TAX ASSET-L/T - AR</t>
  </si>
  <si>
    <t xml:space="preserve">  014C-LA NOL-STATE C/F-DEF TAX ASSET-L/T - LA</t>
  </si>
  <si>
    <t xml:space="preserve">  014C-OK NOL-STATE C/F-DEF TAX ASSET-L/T - OK</t>
  </si>
  <si>
    <t>669J</t>
  </si>
  <si>
    <t xml:space="preserve">  669J REG ASSET-ENERGY EFFICIENCY RECOVERY</t>
  </si>
  <si>
    <t>673U</t>
  </si>
  <si>
    <t>673V</t>
  </si>
  <si>
    <t>673Z</t>
  </si>
  <si>
    <t xml:space="preserve">  673U REG ASSET-LA 2015 FRP-SPP DEFERRAL</t>
  </si>
  <si>
    <t xml:space="preserve">  673V REG ASSET-LA 2015 FRP-UNREC EQUITY</t>
  </si>
  <si>
    <t xml:space="preserve">  673Z REG ASSET-WELSH 2 TX-UNDEPR BAL</t>
  </si>
  <si>
    <t>690F</t>
  </si>
  <si>
    <t xml:space="preserve">  690F REG ASSET-NBV-ARO-RETIRED PLANTS</t>
  </si>
  <si>
    <t xml:space="preserve">  605P STOCK BASED COMP-CAREER SHARES</t>
  </si>
  <si>
    <t xml:space="preserve">   651I</t>
  </si>
  <si>
    <t xml:space="preserve">   651J</t>
  </si>
  <si>
    <t xml:space="preserve">   651K</t>
  </si>
  <si>
    <t xml:space="preserve">   651M</t>
  </si>
  <si>
    <t xml:space="preserve">   651Q</t>
  </si>
  <si>
    <t xml:space="preserve">   651R</t>
  </si>
  <si>
    <t xml:space="preserve">   651S</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</si>
  <si>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</si>
  <si>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</si>
  <si>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</si>
  <si>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</si>
  <si>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</si>
  <si>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RWIP COSTS-INCENTIVE</t>
  </si>
  <si>
    <t xml:space="preserve">  651S DISALLOWED COSTS-TX CWIP COSTS-INCENTIVE</t>
  </si>
  <si>
    <t xml:space="preserve">  980A RESTRICTED STOCK PLAN</t>
  </si>
  <si>
    <t xml:space="preserve">  980J PSI - STOCK BASED COMP</t>
  </si>
  <si>
    <t xml:space="preserve">   940A</t>
  </si>
  <si>
    <t xml:space="preserve">   940A IRS AUDIT SETTLEMENT</t>
  </si>
  <si>
    <t xml:space="preserve">   520X</t>
  </si>
  <si>
    <t xml:space="preserve">   520Y</t>
  </si>
  <si>
    <t xml:space="preserve">   520X PROV FOR RATE REFUND-TAX REFORM</t>
  </si>
  <si>
    <t xml:space="preserve">   520Y PROV FOR RATE REFUND-EXCESS PROTECTED</t>
  </si>
  <si>
    <t xml:space="preserve">   960F-XS EXCESS ADFIT 282 PROTECTED-OK</t>
  </si>
  <si>
    <t xml:space="preserve">   960F-XS EXCESS ADFIT 282 UNPROTECTED-OK</t>
  </si>
  <si>
    <t>TCJA</t>
  </si>
  <si>
    <t xml:space="preserve">   674E</t>
  </si>
  <si>
    <t xml:space="preserve">   690F</t>
  </si>
  <si>
    <t xml:space="preserve">   674E REG ASSET-NE U4 UNDEPRECIATED BALANCE     </t>
  </si>
  <si>
    <t xml:space="preserve">   690F REG ASSET-NBV-ARO-RETIRED PLANTS</t>
  </si>
  <si>
    <t xml:space="preserve">   960F-XS EXCESS ADFIT 283 UNPROTECTED-OK</t>
  </si>
  <si>
    <t xml:space="preserve">   960F-XS</t>
  </si>
  <si>
    <t xml:space="preserve">   960F-XS EXCESS ADFIT 283 PROTECTED-OK</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</si>
  <si>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</si>
  <si>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</si>
  <si>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</si>
  <si>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</si>
  <si>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</si>
  <si>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</si>
  <si>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</si>
  <si>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</si>
  <si>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</si>
  <si>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</si>
  <si>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</si>
  <si>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</si>
  <si>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</si>
  <si>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</si>
  <si>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</si>
  <si>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</si>
  <si>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</si>
  <si>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</si>
  <si>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</si>
  <si>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</si>
  <si>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</si>
  <si>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</si>
  <si>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</si>
  <si>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</si>
  <si>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</si>
  <si>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</si>
  <si>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</si>
  <si>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</si>
  <si>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</si>
  <si>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</si>
  <si>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</si>
  <si>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</si>
  <si>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</si>
  <si>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</si>
  <si>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</si>
  <si>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Ok Local Franchise Tax - 2016</t>
  </si>
  <si>
    <t xml:space="preserve">Ok Lsd PP Tax </t>
  </si>
  <si>
    <t>State License Fee</t>
  </si>
  <si>
    <t>Tx Sales &amp; Use Taxes</t>
  </si>
  <si>
    <t>Unemployement TX - 015</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</si>
  <si>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</si>
  <si>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</si>
  <si>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</si>
  <si>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</si>
  <si>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</si>
  <si>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</si>
  <si>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</si>
  <si>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</si>
  <si>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Plant Held For Future Use </t>
  </si>
  <si>
    <t xml:space="preserve">Transmission Plant Held for Future </t>
  </si>
  <si>
    <t xml:space="preserve">   960F-XS EXCESS ADFIT 282 PROTECTED-AR</t>
  </si>
  <si>
    <t xml:space="preserve">   960F-XS EXCESS ADFIT 282 PROTECTED-FERC</t>
  </si>
  <si>
    <t xml:space="preserve">   960F-XS EXCESS ADFIT 282 PROTECTED-LA</t>
  </si>
  <si>
    <t xml:space="preserve">   960F-XS EXCESS ADFIT 282 PROTECTED-TX</t>
  </si>
  <si>
    <t xml:space="preserve">   960F-XS EXCESS ADFIT 282 UNPROTECTED-AR</t>
  </si>
  <si>
    <t xml:space="preserve">   960F-XS EXCESS ADFIT 282 UNPROTECTED-FERC</t>
  </si>
  <si>
    <t xml:space="preserve">   960F-XS EXCESS ADFIT 282 UNPROTECTED-LA</t>
  </si>
  <si>
    <t xml:space="preserve">   960F-XS EXCESS ADFIT 282 UNPROTECTED-TX</t>
  </si>
  <si>
    <t xml:space="preserve">   014C-DSIT NOL-STATE C/F-DEF STATE TAX ASSET-L/T-AR</t>
  </si>
  <si>
    <t xml:space="preserve">   014C-DSIT NOL-STATE C/F-DEF STATE TAX ASSET-L/T-LA</t>
  </si>
  <si>
    <t xml:space="preserve">   014C-DSIT NOL-STATE C/F-DEF STATE TAX ASSET-L/T-OK</t>
  </si>
  <si>
    <t xml:space="preserve">   960F-XS ADFIT 281 - PROTECTED</t>
  </si>
  <si>
    <t>960F-XS</t>
  </si>
  <si>
    <t>614G</t>
  </si>
  <si>
    <t xml:space="preserve">   614G PROV LA FUEL LITIGATION EXP</t>
  </si>
  <si>
    <t>660L</t>
  </si>
  <si>
    <t xml:space="preserve">   660L REG ASSET-DEFERRED LITIGATION COSTS</t>
  </si>
  <si>
    <t xml:space="preserve">   669J REG ASSET-ENERGY EFFICIENCY RECOVERY</t>
  </si>
  <si>
    <t>711M</t>
  </si>
  <si>
    <t xml:space="preserve">   711M AMAX COAL CONTRACT-TX</t>
  </si>
  <si>
    <t xml:space="preserve">   673U REG ASSET-LA 2015 FRP-SPP DEFERRAL</t>
  </si>
  <si>
    <t xml:space="preserve">   673V REG ASSET-LA 2015 FRP-UNREC EQUITY</t>
  </si>
  <si>
    <t xml:space="preserve">   673Z REG ASSET-WELSH 2 TX-UNDEPR BAL</t>
  </si>
  <si>
    <t xml:space="preserve">   674R REG ASSET-UNDER RECOV-EXCESS TAX ETRR</t>
  </si>
  <si>
    <t>674R</t>
  </si>
  <si>
    <t>960F</t>
  </si>
  <si>
    <t xml:space="preserve">   960F-XS EXCESS ADFIT 283 - UNPROTECTED</t>
  </si>
  <si>
    <t xml:space="preserve">   960F-XS EXCESS ADFIT 283 - UNPROTECTED-AR</t>
  </si>
  <si>
    <t xml:space="preserve">   960F-XS EXCESS ADFIT 283 - UNPROTECTED-FERC</t>
  </si>
  <si>
    <t xml:space="preserve">   960F-XS EXCESS ADFIT 283 - UNPROTECTED-LA</t>
  </si>
  <si>
    <t xml:space="preserve">   960F-XS EXCESS ADFIT 283 - UNPROTECTED-TX</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</si>
  <si>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</si>
  <si>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</si>
  <si>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</si>
  <si>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</si>
  <si>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</si>
  <si>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DIST COSTS</t>
  </si>
  <si>
    <t xml:space="preserve">   651S DISALLOWED COSTS-TX GEN COSTS</t>
  </si>
  <si>
    <t xml:space="preserve">   651T DISALLOWED COSTS-TX CWIP FINBASED INCEN-TRANS</t>
  </si>
  <si>
    <t xml:space="preserve">   651W DISALLOWED COSTS-TX CWIP FINBASED INCEN-DIST</t>
  </si>
  <si>
    <t xml:space="preserve">   651X DISALLOWED COSTS-TX CWIP FINBASED INCEN-GEN</t>
  </si>
  <si>
    <t xml:space="preserve">   651Y DISALLOWED COSTS-TX RWIP FINBASED INCEN-TRANS</t>
  </si>
  <si>
    <t xml:space="preserve">   651Z DISALLOWED COSTS-TX RWIP FINBASED INCEN-DIST</t>
  </si>
  <si>
    <t xml:space="preserve">   651T</t>
  </si>
  <si>
    <t xml:space="preserve">   651W</t>
  </si>
  <si>
    <t xml:space="preserve">   651X</t>
  </si>
  <si>
    <t xml:space="preserve">   651Y</t>
  </si>
  <si>
    <t xml:space="preserve">   651Z</t>
  </si>
  <si>
    <t xml:space="preserve">   653A</t>
  </si>
  <si>
    <t xml:space="preserve">   653A DISALLOWED COSTS-TX RWIP FINBASED INCEN-GEN</t>
  </si>
  <si>
    <t xml:space="preserve">   014C-DSIT NOL-STATE C/F-DEF STATE TAX ASSET-L/T - AR</t>
  </si>
  <si>
    <t xml:space="preserve">   014C-DSIT NOL-STATE C/F-DEF STATE TAX ASSET-L/T - LA</t>
  </si>
  <si>
    <t xml:space="preserve">   014C-DSIT NOL-STATE C/F-DEF STATE TAX ASSET-L/T - OK</t>
  </si>
  <si>
    <t>SFAS 106 Medicare Subsidy</t>
  </si>
  <si>
    <t>Deferred Storm Restoration Expenses–Relating to major storms</t>
  </si>
  <si>
    <t xml:space="preserve">Senior Unsecured Notes Series I, 3.55% - Financial Hedges </t>
  </si>
  <si>
    <t>9302XXX</t>
  </si>
  <si>
    <t>9301XXX</t>
  </si>
  <si>
    <t>9280005</t>
  </si>
  <si>
    <t>Reg Commission Exp - Trans Cases</t>
  </si>
  <si>
    <t>to accumulate AEPSC costs to align all work associated with managing the protocols and formula rates of the west operating companies and west transmission companies.</t>
  </si>
  <si>
    <t>PSO Base Rate Case Support</t>
  </si>
  <si>
    <t>2282003</t>
  </si>
  <si>
    <t>Accm Prv I/D - Worker's Com</t>
  </si>
  <si>
    <t>Excluded</t>
  </si>
  <si>
    <t>Misc Rate Case Filings</t>
  </si>
  <si>
    <t>201300217 &amp; 201700151</t>
  </si>
  <si>
    <t>Informational ONLY</t>
  </si>
  <si>
    <t>AEP TOTALS</t>
  </si>
  <si>
    <t>----&gt; this value goes to PSO Sched 11 Rates sheet.</t>
  </si>
  <si>
    <t>----&gt; this value goes to SWE Sched 11 Rates sheet.</t>
  </si>
  <si>
    <t>&lt;--- Total BP (Schedule 11) revenues booked during CY2018.</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</si>
  <si>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</si>
  <si>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</si>
  <si>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</si>
  <si>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</si>
  <si>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</si>
  <si>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</si>
  <si>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</si>
  <si>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</si>
  <si>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</si>
  <si>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</si>
  <si>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</si>
  <si>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</si>
  <si>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</si>
  <si>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</si>
  <si>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</si>
  <si>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</si>
  <si>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</si>
  <si>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</si>
  <si>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</si>
  <si>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</si>
  <si>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</si>
  <si>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</si>
  <si>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</si>
  <si>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</si>
  <si>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</si>
  <si>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</si>
  <si>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</si>
  <si>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</si>
  <si>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</si>
  <si>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</si>
  <si>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</si>
  <si>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</si>
  <si>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</si>
  <si>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</si>
  <si>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</si>
  <si>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</si>
  <si>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</si>
  <si>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</si>
  <si>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</si>
  <si>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</si>
  <si>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</si>
  <si>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</si>
  <si>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</si>
  <si>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</si>
  <si>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</si>
  <si>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</si>
  <si>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</si>
  <si>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</si>
  <si>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</si>
  <si>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</si>
  <si>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</si>
  <si>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</si>
  <si>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</si>
  <si>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</si>
  <si>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</si>
  <si>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</si>
  <si>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</si>
  <si>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</si>
  <si>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</si>
  <si>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</si>
  <si>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</si>
  <si>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</si>
  <si>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</si>
  <si>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</si>
  <si>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</si>
  <si>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</si>
  <si>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</si>
  <si>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</si>
  <si>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</si>
  <si>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</si>
  <si>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</si>
  <si>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</si>
  <si>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</si>
  <si>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</si>
  <si>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</si>
  <si>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</si>
  <si>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</si>
  <si>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</si>
  <si>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</si>
  <si>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</si>
  <si>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</si>
  <si>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</si>
  <si>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</si>
  <si>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</si>
  <si>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</si>
  <si>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</si>
  <si>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</si>
  <si>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</si>
  <si>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</si>
  <si>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</si>
  <si>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</si>
  <si>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</si>
  <si>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</si>
  <si>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</si>
  <si>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</si>
  <si>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</si>
  <si>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</si>
  <si>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</si>
  <si>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</si>
  <si>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</si>
  <si>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</si>
  <si>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</si>
  <si>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</si>
  <si>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</si>
  <si>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</si>
  <si>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</si>
  <si>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</si>
  <si>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</si>
  <si>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</si>
  <si>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</si>
  <si>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</si>
  <si>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</si>
  <si>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</si>
  <si>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</si>
  <si>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</si>
  <si>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</si>
  <si>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</si>
  <si>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</si>
  <si>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</si>
  <si>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</si>
  <si>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</si>
  <si>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</si>
  <si>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</si>
  <si>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</si>
  <si>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</si>
  <si>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</si>
  <si>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</si>
  <si>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</si>
  <si>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</si>
  <si>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</si>
  <si>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</si>
  <si>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</si>
  <si>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</si>
  <si>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</si>
  <si>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</si>
  <si>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</si>
  <si>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</si>
  <si>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</si>
  <si>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</si>
  <si>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</si>
  <si>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</si>
  <si>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</si>
  <si>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</si>
  <si>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</si>
  <si>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</si>
  <si>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</si>
  <si>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</si>
  <si>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</si>
  <si>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</si>
  <si>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</si>
  <si>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Bloomburg-Texarkana Plant </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</si>
  <si>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</si>
  <si>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</si>
  <si>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</si>
  <si>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</si>
  <si>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</si>
  <si>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</si>
  <si>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</si>
  <si>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</si>
  <si>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</si>
  <si>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</si>
  <si>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</si>
  <si>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</si>
  <si>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</si>
  <si>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</si>
  <si>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</si>
  <si>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</si>
  <si>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</si>
  <si>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</si>
  <si>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</si>
  <si>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</si>
  <si>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</si>
  <si>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</si>
  <si>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</si>
  <si>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</si>
  <si>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</si>
  <si>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</si>
  <si>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</si>
  <si>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</si>
  <si>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</si>
  <si>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</si>
  <si>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</si>
  <si>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</si>
  <si>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</si>
  <si>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</si>
  <si>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</si>
  <si>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</si>
  <si>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</si>
  <si>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</si>
  <si>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</si>
  <si>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</si>
  <si>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</si>
  <si>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</si>
  <si>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2010 Severance Amortization</t>
  </si>
  <si>
    <t>ER18-195</t>
  </si>
  <si>
    <t>Common Stock cost rate (ROE) = 10.5%, the rate accepted by FERC pursuant to the settlement filed in Docket Nos.EL17-76 / EL18-199 .  It includes an additional 50 basis points</t>
  </si>
  <si>
    <t xml:space="preserve"> for remaining a member of the SPP RTO.</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</si>
  <si>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</si>
  <si>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</si>
  <si>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</si>
  <si>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</si>
  <si>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</si>
  <si>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</si>
  <si>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</si>
  <si>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</si>
  <si>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</si>
  <si>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</si>
  <si>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</si>
  <si>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Prepaid Carry Cost</t>
  </si>
  <si>
    <t>Prepaid Local Franchise Taxes</t>
  </si>
  <si>
    <t>1650017</t>
  </si>
  <si>
    <t>Prepayment - Coal</t>
  </si>
  <si>
    <t>Future Wetland Credits - Long Term</t>
  </si>
  <si>
    <t>Other Prepayments - Long Term</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</si>
  <si>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</si>
  <si>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</si>
  <si>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</si>
  <si>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EIS Excess Liability Ins, EIS Property Ins and EIS Boiler Inspection Service Fee.</t>
  </si>
  <si>
    <t>Dolet Hills Future Wetlands Credit - LT</t>
  </si>
  <si>
    <t>9280000</t>
  </si>
  <si>
    <t>Reg Commission Expense - OCC Annual Fees</t>
  </si>
  <si>
    <t>Oklahoma Corporation Commission Assessment fees</t>
  </si>
  <si>
    <t>9280001</t>
  </si>
  <si>
    <t>Reg Commission Expense Admin - FERC Assessment Fees</t>
  </si>
  <si>
    <t>FERC Assessment Fees</t>
  </si>
  <si>
    <t>Reg Commission Expense Admin</t>
  </si>
  <si>
    <t>Reg/Leg Act-West Oper Co.'s</t>
  </si>
  <si>
    <t>9280002</t>
  </si>
  <si>
    <t>Reg Commission Exp - Case</t>
  </si>
  <si>
    <t>Reg Commission Exp - Misc Filings</t>
  </si>
  <si>
    <t>Reg/Leg Act-Oklahoma</t>
  </si>
  <si>
    <t>To capture costs relating to the Oklahoma's Attorney General and PUD staff requirements for the AEP WindCatcher project. - not recoverable.</t>
  </si>
  <si>
    <t>9280003</t>
  </si>
  <si>
    <t>Rate Case Amort</t>
  </si>
  <si>
    <t>Rate Case Amortization</t>
  </si>
  <si>
    <t>General Advertising Expenses</t>
  </si>
  <si>
    <t>Misc General Expenses</t>
  </si>
  <si>
    <t>Regulatory Commission Exp</t>
  </si>
  <si>
    <t>Labor accruals - for various depts $45.63
Regulatory Act-All Reg OpCo's $36.03
AEP Service Co. Bill $457.64
Strategic Reg Engagement (T&amp;D) $3,527.58</t>
  </si>
  <si>
    <t>FERC Annual Assessment</t>
  </si>
  <si>
    <t>Reg Commission Exp - Labor Accruals</t>
  </si>
  <si>
    <t>Labor accruals - for various depts</t>
  </si>
  <si>
    <t>EECRF Filing-SWEPCO  Tx Distribution</t>
  </si>
  <si>
    <t>Recovery of Rate Case Expenses in PUCT Docket No. 42370 Amortization starting August 2015- July 2018. (3 Year Peiord) $2,685,205.64.
Offset by:
The deferral of rate case expense related to PUCT Dockets 42370,42448, 42527, 44701, 45691 and 44496, approved for recovery in Docket 46449 ($1,176,087.56).</t>
  </si>
  <si>
    <t>To accumulate AEPSC costs in connection with the preparation and hearing related to Southwest Power Pool Annual Fourmula Rate Filings, FERC Hearing Docket No. ER-1069-007.</t>
  </si>
  <si>
    <t>PSO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</si>
</sst>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s>
  <fonts count="21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theme="1"/>
        <bgColor indexed="64"/>
      </patternFill>
    </fill>
    <fill>
      <patternFill patternType="solid">
        <fgColor indexed="15"/>
        <bgColor indexed="64"/>
      </patternFill>
    </fill>
    <fill>
      <patternFill patternType="solid">
        <fgColor indexed="14"/>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s>
  <cellStyleXfs count="1538">
    <xf numFmtId="0" fontId="0" fillId="0" borderId="0"/>
    <xf numFmtId="0" fontId="26"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38" fillId="30" borderId="0" applyNumberFormat="0" applyBorder="0" applyAlignment="0" applyProtection="0"/>
    <xf numFmtId="0" fontId="26" fillId="2" borderId="0" applyNumberFormat="0" applyBorder="0" applyAlignment="0" applyProtection="0"/>
    <xf numFmtId="0" fontId="91" fillId="2"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38" fillId="31"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38" fillId="32"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8" fillId="33"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38" fillId="34"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38" fillId="35"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8" fillId="36"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38" fillId="37"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38" fillId="38"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8" fillId="39"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8" fillId="40"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38" fillId="41"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139" fillId="42"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9" fillId="43"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9" fillId="44"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9" fillId="45"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9" fillId="46"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139" fillId="47"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39" fillId="48"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139" fillId="49"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39" fillId="50"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9" fillId="51"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9" fillId="52"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39" fillId="53"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40" fillId="54"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172" fontId="29" fillId="0" borderId="0" applyFill="0"/>
    <xf numFmtId="172" fontId="29" fillId="0" borderId="0">
      <alignment horizontal="center"/>
    </xf>
    <xf numFmtId="0" fontId="29" fillId="0" borderId="0" applyFill="0">
      <alignment horizontal="center"/>
    </xf>
    <xf numFmtId="172" fontId="6" fillId="0" borderId="1" applyFill="0"/>
    <xf numFmtId="0" fontId="12" fillId="0" borderId="0" applyFont="0" applyAlignment="0"/>
    <xf numFmtId="0" fontId="12" fillId="0" borderId="0" applyFont="0" applyAlignment="0"/>
    <xf numFmtId="0" fontId="30" fillId="0" borderId="0" applyFill="0">
      <alignment vertical="top"/>
    </xf>
    <xf numFmtId="0" fontId="6" fillId="0" borderId="0" applyFill="0">
      <alignment horizontal="left" vertical="top"/>
    </xf>
    <xf numFmtId="172" fontId="8" fillId="0" borderId="2" applyFill="0"/>
    <xf numFmtId="0" fontId="12" fillId="0" borderId="0" applyNumberFormat="0" applyFont="0" applyAlignment="0"/>
    <xf numFmtId="0" fontId="12" fillId="0" borderId="0" applyNumberFormat="0" applyFont="0" applyAlignment="0"/>
    <xf numFmtId="0" fontId="30" fillId="0" borderId="0" applyFill="0">
      <alignment wrapText="1"/>
    </xf>
    <xf numFmtId="0" fontId="6" fillId="0" borderId="0" applyFill="0">
      <alignment horizontal="left" vertical="top" wrapText="1"/>
    </xf>
    <xf numFmtId="172" fontId="31" fillId="0" borderId="0" applyFill="0"/>
    <xf numFmtId="0" fontId="32" fillId="0" borderId="0" applyNumberFormat="0" applyFont="0" applyAlignment="0">
      <alignment horizontal="center"/>
    </xf>
    <xf numFmtId="0" fontId="33" fillId="0" borderId="0" applyFill="0">
      <alignment vertical="top" wrapText="1"/>
    </xf>
    <xf numFmtId="0" fontId="8" fillId="0" borderId="0" applyFill="0">
      <alignment horizontal="left" vertical="top" wrapText="1"/>
    </xf>
    <xf numFmtId="172" fontId="12" fillId="0" borderId="0" applyFill="0"/>
    <xf numFmtId="172" fontId="12" fillId="0" borderId="0" applyFill="0"/>
    <xf numFmtId="0" fontId="32" fillId="0" borderId="0" applyNumberFormat="0" applyFont="0" applyAlignment="0">
      <alignment horizontal="center"/>
    </xf>
    <xf numFmtId="0" fontId="22" fillId="0" borderId="0" applyFill="0">
      <alignment vertical="center" wrapText="1"/>
    </xf>
    <xf numFmtId="0" fontId="7" fillId="0" borderId="0">
      <alignment horizontal="left" vertical="center" wrapText="1"/>
    </xf>
    <xf numFmtId="172" fontId="20" fillId="0" borderId="0" applyFill="0"/>
    <xf numFmtId="0" fontId="32"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172" fontId="34" fillId="0" borderId="0" applyFill="0"/>
    <xf numFmtId="0" fontId="32"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20" borderId="3" applyNumberFormat="0" applyAlignment="0" applyProtection="0"/>
    <xf numFmtId="0" fontId="94" fillId="20" borderId="3" applyNumberFormat="0" applyAlignment="0" applyProtection="0"/>
    <xf numFmtId="0" fontId="94" fillId="20" borderId="3" applyNumberFormat="0" applyAlignment="0" applyProtection="0"/>
    <xf numFmtId="0" fontId="141" fillId="55" borderId="55" applyNumberFormat="0" applyAlignment="0" applyProtection="0"/>
    <xf numFmtId="0" fontId="39" fillId="20" borderId="3" applyNumberFormat="0" applyAlignment="0" applyProtection="0"/>
    <xf numFmtId="0" fontId="94" fillId="20" borderId="3" applyNumberFormat="0" applyAlignment="0" applyProtection="0"/>
    <xf numFmtId="0" fontId="40" fillId="21" borderId="4" applyNumberFormat="0" applyAlignment="0" applyProtection="0"/>
    <xf numFmtId="0" fontId="95" fillId="21" borderId="4" applyNumberFormat="0" applyAlignment="0" applyProtection="0"/>
    <xf numFmtId="0" fontId="95" fillId="21" borderId="4" applyNumberFormat="0" applyAlignment="0" applyProtection="0"/>
    <xf numFmtId="0" fontId="142" fillId="56" borderId="56" applyNumberFormat="0" applyAlignment="0" applyProtection="0"/>
    <xf numFmtId="0" fontId="40" fillId="21" borderId="4" applyNumberFormat="0" applyAlignment="0" applyProtection="0"/>
    <xf numFmtId="0" fontId="95" fillId="21" borderId="4" applyNumberFormat="0" applyAlignment="0" applyProtection="0"/>
    <xf numFmtId="43" fontId="4"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8"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44" fontId="12"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38"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3"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0" fontId="42"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44" fillId="57" borderId="0" applyNumberFormat="0" applyBorder="0" applyAlignment="0" applyProtection="0"/>
    <xf numFmtId="0" fontId="42" fillId="4" borderId="0" applyNumberFormat="0" applyBorder="0" applyAlignment="0" applyProtection="0"/>
    <xf numFmtId="0" fontId="99" fillId="4" borderId="0" applyNumberFormat="0" applyBorder="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5" fillId="0" borderId="57" applyNumberFormat="0" applyFill="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6" fillId="0" borderId="58" applyNumberFormat="0" applyFill="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3" fillId="0" borderId="5" applyNumberFormat="0" applyFill="0" applyAlignment="0" applyProtection="0"/>
    <xf numFmtId="0" fontId="102" fillId="0" borderId="5" applyNumberFormat="0" applyFill="0" applyAlignment="0" applyProtection="0"/>
    <xf numFmtId="0" fontId="102" fillId="0" borderId="5" applyNumberFormat="0" applyFill="0" applyAlignment="0" applyProtection="0"/>
    <xf numFmtId="0" fontId="147" fillId="0" borderId="59" applyNumberFormat="0" applyFill="0" applyAlignment="0" applyProtection="0"/>
    <xf numFmtId="0" fontId="43" fillId="0" borderId="5" applyNumberFormat="0" applyFill="0" applyAlignment="0" applyProtection="0"/>
    <xf numFmtId="0" fontId="102" fillId="0" borderId="5" applyNumberFormat="0" applyFill="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0" applyNumberFormat="0" applyFill="0" applyBorder="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44" fillId="0" borderId="6"/>
    <xf numFmtId="0" fontId="45" fillId="0" borderId="0"/>
    <xf numFmtId="0" fontId="46" fillId="7" borderId="3" applyNumberFormat="0" applyAlignment="0" applyProtection="0"/>
    <xf numFmtId="0" fontId="103" fillId="7" borderId="3" applyNumberFormat="0" applyAlignment="0" applyProtection="0"/>
    <xf numFmtId="0" fontId="103" fillId="7" borderId="3" applyNumberFormat="0" applyAlignment="0" applyProtection="0"/>
    <xf numFmtId="0" fontId="148" fillId="58" borderId="55" applyNumberFormat="0" applyAlignment="0" applyProtection="0"/>
    <xf numFmtId="0" fontId="46" fillId="7" borderId="3" applyNumberFormat="0" applyAlignment="0" applyProtection="0"/>
    <xf numFmtId="0" fontId="103" fillId="7" borderId="3" applyNumberFormat="0" applyAlignment="0" applyProtection="0"/>
    <xf numFmtId="0" fontId="47" fillId="0" borderId="7" applyNumberFormat="0" applyFill="0" applyAlignment="0" applyProtection="0"/>
    <xf numFmtId="0" fontId="104" fillId="0" borderId="7" applyNumberFormat="0" applyFill="0" applyAlignment="0" applyProtection="0"/>
    <xf numFmtId="0" fontId="104" fillId="0" borderId="7" applyNumberFormat="0" applyFill="0" applyAlignment="0" applyProtection="0"/>
    <xf numFmtId="0" fontId="149" fillId="0" borderId="60" applyNumberFormat="0" applyFill="0" applyAlignment="0" applyProtection="0"/>
    <xf numFmtId="0" fontId="47" fillId="0" borderId="7" applyNumberFormat="0" applyFill="0" applyAlignment="0" applyProtection="0"/>
    <xf numFmtId="0" fontId="104" fillId="0" borderId="7" applyNumberFormat="0" applyFill="0" applyAlignment="0" applyProtection="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0" fontId="48"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50" fillId="59" borderId="0" applyNumberFormat="0" applyBorder="0" applyAlignment="0" applyProtection="0"/>
    <xf numFmtId="0" fontId="48" fillId="22" borderId="0" applyNumberFormat="0" applyBorder="0" applyAlignment="0" applyProtection="0"/>
    <xf numFmtId="0" fontId="105" fillId="22" borderId="0" applyNumberFormat="0" applyBorder="0" applyAlignment="0" applyProtection="0"/>
    <xf numFmtId="0" fontId="138" fillId="0" borderId="0"/>
    <xf numFmtId="0" fontId="24" fillId="0" borderId="0"/>
    <xf numFmtId="3" fontId="12" fillId="0" borderId="0"/>
    <xf numFmtId="3" fontId="12" fillId="0" borderId="0"/>
    <xf numFmtId="0" fontId="24" fillId="0" borderId="0"/>
    <xf numFmtId="0" fontId="24" fillId="0" borderId="0"/>
    <xf numFmtId="0" fontId="12" fillId="0" borderId="0"/>
    <xf numFmtId="0" fontId="12" fillId="0" borderId="0"/>
    <xf numFmtId="3" fontId="12" fillId="0" borderId="0"/>
    <xf numFmtId="0" fontId="12" fillId="0" borderId="0"/>
    <xf numFmtId="0" fontId="24" fillId="0" borderId="0"/>
    <xf numFmtId="0" fontId="24" fillId="0" borderId="0"/>
    <xf numFmtId="0" fontId="138"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51" fillId="0" borderId="0"/>
    <xf numFmtId="0" fontId="108" fillId="0" borderId="0"/>
    <xf numFmtId="0" fontId="12" fillId="0" borderId="0"/>
    <xf numFmtId="0" fontId="12" fillId="0" borderId="0"/>
    <xf numFmtId="0" fontId="151"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3" fontId="12" fillId="0" borderId="0"/>
    <xf numFmtId="3" fontId="12" fillId="0" borderId="0"/>
    <xf numFmtId="0" fontId="4" fillId="0" borderId="0"/>
    <xf numFmtId="0" fontId="121" fillId="0" borderId="0"/>
    <xf numFmtId="0" fontId="12" fillId="0" borderId="0"/>
    <xf numFmtId="0" fontId="12" fillId="0" borderId="0"/>
    <xf numFmtId="0" fontId="132" fillId="0" borderId="0"/>
    <xf numFmtId="0" fontId="12" fillId="0" borderId="0"/>
    <xf numFmtId="0" fontId="132" fillId="0" borderId="0"/>
    <xf numFmtId="0" fontId="12" fillId="0" borderId="0"/>
    <xf numFmtId="0" fontId="133" fillId="0" borderId="0"/>
    <xf numFmtId="0" fontId="12" fillId="0" borderId="0"/>
    <xf numFmtId="0" fontId="134" fillId="0" borderId="0"/>
    <xf numFmtId="0" fontId="12" fillId="0" borderId="0"/>
    <xf numFmtId="0" fontId="12" fillId="0" borderId="0"/>
    <xf numFmtId="0" fontId="9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0" fontId="12" fillId="0" borderId="0"/>
    <xf numFmtId="0" fontId="12" fillId="0" borderId="0"/>
    <xf numFmtId="0" fontId="12" fillId="0" borderId="0"/>
    <xf numFmtId="0" fontId="12" fillId="0" borderId="0"/>
    <xf numFmtId="3" fontId="12" fillId="0" borderId="0"/>
    <xf numFmtId="0" fontId="12" fillId="0" borderId="0"/>
    <xf numFmtId="0" fontId="24" fillId="0" borderId="0"/>
    <xf numFmtId="0" fontId="12" fillId="0" borderId="0"/>
    <xf numFmtId="0" fontId="12" fillId="0" borderId="0"/>
    <xf numFmtId="0" fontId="24" fillId="0" borderId="0"/>
    <xf numFmtId="0" fontId="24" fillId="0" borderId="0"/>
    <xf numFmtId="3" fontId="12" fillId="0" borderId="0"/>
    <xf numFmtId="3" fontId="12" fillId="0" borderId="0"/>
    <xf numFmtId="0" fontId="12" fillId="0" borderId="0"/>
    <xf numFmtId="0" fontId="138" fillId="0" borderId="0"/>
    <xf numFmtId="0" fontId="24" fillId="0" borderId="0"/>
    <xf numFmtId="0" fontId="12" fillId="0" borderId="0"/>
    <xf numFmtId="0" fontId="12" fillId="0" borderId="0"/>
    <xf numFmtId="0" fontId="12" fillId="0" borderId="0"/>
    <xf numFmtId="0" fontId="138" fillId="0" borderId="0"/>
    <xf numFmtId="0" fontId="12" fillId="0" borderId="0"/>
    <xf numFmtId="0" fontId="12" fillId="0" borderId="0"/>
    <xf numFmtId="0" fontId="138" fillId="0" borderId="0"/>
    <xf numFmtId="0" fontId="24" fillId="0" borderId="0"/>
    <xf numFmtId="0" fontId="12" fillId="0" borderId="0"/>
    <xf numFmtId="0" fontId="138" fillId="0" borderId="0"/>
    <xf numFmtId="0" fontId="24" fillId="0" borderId="0"/>
    <xf numFmtId="0" fontId="12" fillId="0" borderId="0"/>
    <xf numFmtId="0" fontId="4" fillId="0" borderId="0"/>
    <xf numFmtId="0" fontId="5" fillId="0" borderId="0" applyProtection="0"/>
    <xf numFmtId="0" fontId="4" fillId="0" borderId="0"/>
    <xf numFmtId="0" fontId="12" fillId="0" borderId="0"/>
    <xf numFmtId="0" fontId="4" fillId="0" borderId="0"/>
    <xf numFmtId="172" fontId="5" fillId="0" borderId="0" applyProtection="0"/>
    <xf numFmtId="0" fontId="59" fillId="0" borderId="0"/>
    <xf numFmtId="0" fontId="4" fillId="0" borderId="0"/>
    <xf numFmtId="0" fontId="5" fillId="23" borderId="8"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5" fillId="23" borderId="8" applyNumberFormat="0" applyFont="0" applyAlignment="0" applyProtection="0"/>
    <xf numFmtId="0" fontId="12" fillId="23" borderId="8" applyNumberFormat="0" applyFont="0" applyAlignment="0" applyProtection="0"/>
    <xf numFmtId="0" fontId="49" fillId="20" borderId="9" applyNumberFormat="0" applyAlignment="0" applyProtection="0"/>
    <xf numFmtId="0" fontId="106" fillId="20" borderId="9" applyNumberFormat="0" applyAlignment="0" applyProtection="0"/>
    <xf numFmtId="0" fontId="106" fillId="20" borderId="9" applyNumberFormat="0" applyAlignment="0" applyProtection="0"/>
    <xf numFmtId="0" fontId="152" fillId="55" borderId="62" applyNumberFormat="0" applyAlignment="0" applyProtection="0"/>
    <xf numFmtId="0" fontId="49" fillId="20" borderId="9" applyNumberFormat="0" applyAlignment="0" applyProtection="0"/>
    <xf numFmtId="0" fontId="106" fillId="20" borderId="9"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38"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3" fontId="12" fillId="0" borderId="0">
      <alignment horizontal="left" vertical="top"/>
    </xf>
    <xf numFmtId="3" fontId="12" fillId="0" borderId="0">
      <alignment horizontal="left" vertical="top"/>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3" fontId="12" fillId="0" borderId="0">
      <alignment horizontal="right" vertical="top"/>
    </xf>
    <xf numFmtId="3" fontId="12" fillId="0" borderId="0">
      <alignment horizontal="right" vertical="top"/>
    </xf>
    <xf numFmtId="41" fontId="7" fillId="25" borderId="10" applyFill="0"/>
    <xf numFmtId="0" fontId="50" fillId="0" borderId="0">
      <alignment horizontal="left" indent="7"/>
    </xf>
    <xf numFmtId="41" fontId="7" fillId="0" borderId="10" applyFill="0">
      <alignment horizontal="left" indent="2"/>
    </xf>
    <xf numFmtId="172" fontId="21" fillId="0" borderId="11" applyFill="0">
      <alignment horizontal="right"/>
    </xf>
    <xf numFmtId="0" fontId="9" fillId="0" borderId="12" applyNumberFormat="0" applyFont="0" applyBorder="0">
      <alignment horizontal="right"/>
    </xf>
    <xf numFmtId="0" fontId="51" fillId="0" borderId="0" applyFill="0"/>
    <xf numFmtId="0" fontId="8" fillId="0" borderId="0" applyFill="0"/>
    <xf numFmtId="4" fontId="21" fillId="0" borderId="11" applyFill="0"/>
    <xf numFmtId="0" fontId="12" fillId="0" borderId="0" applyNumberFormat="0" applyFont="0" applyBorder="0" applyAlignment="0"/>
    <xf numFmtId="0" fontId="12" fillId="0" borderId="0" applyNumberFormat="0" applyFont="0" applyBorder="0" applyAlignment="0"/>
    <xf numFmtId="0" fontId="33" fillId="0" borderId="0" applyFill="0">
      <alignment horizontal="left" indent="1"/>
    </xf>
    <xf numFmtId="0" fontId="52" fillId="0" borderId="0" applyFill="0">
      <alignment horizontal="left" indent="1"/>
    </xf>
    <xf numFmtId="4" fontId="20" fillId="0" borderId="0" applyFill="0"/>
    <xf numFmtId="0" fontId="12" fillId="0" borderId="0" applyNumberFormat="0" applyFont="0" applyFill="0" applyBorder="0" applyAlignment="0"/>
    <xf numFmtId="0" fontId="12" fillId="0" borderId="0" applyNumberFormat="0" applyFont="0" applyFill="0" applyBorder="0" applyAlignment="0"/>
    <xf numFmtId="0" fontId="33" fillId="0" borderId="0" applyFill="0">
      <alignment horizontal="left" indent="2"/>
    </xf>
    <xf numFmtId="0" fontId="8" fillId="0" borderId="0" applyFill="0">
      <alignment horizontal="left" indent="2"/>
    </xf>
    <xf numFmtId="4" fontId="20" fillId="0" borderId="0" applyFill="0"/>
    <xf numFmtId="0" fontId="12" fillId="0" borderId="0" applyNumberFormat="0" applyFont="0" applyBorder="0" applyAlignment="0"/>
    <xf numFmtId="0" fontId="12" fillId="0" borderId="0" applyNumberFormat="0" applyFont="0" applyBorder="0" applyAlignment="0"/>
    <xf numFmtId="0" fontId="53" fillId="0" borderId="0">
      <alignment horizontal="left" indent="3"/>
    </xf>
    <xf numFmtId="0" fontId="54" fillId="0" borderId="0" applyFill="0">
      <alignment horizontal="left" indent="3"/>
    </xf>
    <xf numFmtId="4" fontId="20" fillId="0" borderId="0" applyFill="0"/>
    <xf numFmtId="0" fontId="12" fillId="0" borderId="0" applyNumberFormat="0" applyFont="0" applyBorder="0" applyAlignment="0"/>
    <xf numFmtId="0" fontId="12" fillId="0" borderId="0" applyNumberFormat="0" applyFont="0" applyBorder="0" applyAlignment="0"/>
    <xf numFmtId="0" fontId="16" fillId="0" borderId="0">
      <alignment horizontal="left" indent="4"/>
    </xf>
    <xf numFmtId="0" fontId="12" fillId="0" borderId="0" applyFill="0">
      <alignment horizontal="left" indent="4"/>
    </xf>
    <xf numFmtId="0" fontId="12" fillId="0" borderId="0" applyFill="0">
      <alignment horizontal="left" indent="4"/>
    </xf>
    <xf numFmtId="4" fontId="34" fillId="0" borderId="0" applyFill="0"/>
    <xf numFmtId="0" fontId="12" fillId="0" borderId="0" applyNumberFormat="0" applyFont="0" applyBorder="0" applyAlignment="0"/>
    <xf numFmtId="0" fontId="1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2" fillId="0" borderId="0" applyNumberFormat="0" applyFont="0" applyFill="0" applyBorder="0" applyAlignment="0"/>
    <xf numFmtId="0" fontId="1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3" fillId="0" borderId="0" applyNumberFormat="0" applyFill="0" applyBorder="0" applyAlignment="0" applyProtection="0"/>
    <xf numFmtId="0" fontId="55" fillId="0" borderId="0" applyNumberFormat="0" applyFill="0" applyBorder="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154" fillId="0" borderId="63" applyNumberFormat="0" applyFill="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5" fillId="0" borderId="0" applyNumberFormat="0" applyFill="0" applyBorder="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2" fillId="0" borderId="0"/>
    <xf numFmtId="172" fontId="5" fillId="0" borderId="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12" fillId="0" borderId="0"/>
    <xf numFmtId="3" fontId="12" fillId="0" borderId="0"/>
    <xf numFmtId="0" fontId="3" fillId="0" borderId="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2" fillId="0" borderId="0"/>
    <xf numFmtId="37" fontId="165" fillId="0" borderId="0"/>
    <xf numFmtId="8" fontId="24" fillId="0" borderId="0" applyFont="0" applyFill="0" applyBorder="0" applyAlignment="0" applyProtection="0"/>
    <xf numFmtId="9" fontId="2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6"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66" fillId="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6" fillId="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6"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6"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66" fillId="7"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6"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6" fillId="9"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66" fillId="1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6" fillId="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6" fillId="8"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66" fillId="11" borderId="0" applyNumberFormat="0" applyBorder="0" applyAlignment="0" applyProtection="0"/>
    <xf numFmtId="0" fontId="92" fillId="14" borderId="0" applyNumberFormat="0" applyBorder="0" applyAlignment="0" applyProtection="0"/>
    <xf numFmtId="0" fontId="92" fillId="12" borderId="0" applyNumberFormat="0" applyBorder="0" applyAlignment="0" applyProtection="0"/>
    <xf numFmtId="0" fontId="167" fillId="12" borderId="0" applyNumberFormat="0" applyBorder="0" applyAlignment="0" applyProtection="0"/>
    <xf numFmtId="0" fontId="167" fillId="9"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167" fillId="10" borderId="0" applyNumberFormat="0" applyBorder="0" applyAlignment="0" applyProtection="0"/>
    <xf numFmtId="0" fontId="92" fillId="63" borderId="0" applyNumberFormat="0" applyBorder="0" applyAlignment="0" applyProtection="0"/>
    <xf numFmtId="0" fontId="92"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167" fillId="15" borderId="0" applyNumberFormat="0" applyBorder="0" applyAlignment="0" applyProtection="0"/>
    <xf numFmtId="0" fontId="92" fillId="14" borderId="0" applyNumberFormat="0" applyBorder="0" applyAlignment="0" applyProtection="0"/>
    <xf numFmtId="0" fontId="92" fillId="16" borderId="0" applyNumberFormat="0" applyBorder="0" applyAlignment="0" applyProtection="0"/>
    <xf numFmtId="0" fontId="167" fillId="16" borderId="0" applyNumberFormat="0" applyBorder="0" applyAlignment="0" applyProtection="0"/>
    <xf numFmtId="0" fontId="167" fillId="17" borderId="0" applyNumberFormat="0" applyBorder="0" applyAlignment="0" applyProtection="0"/>
    <xf numFmtId="0" fontId="167" fillId="18" borderId="0" applyNumberFormat="0" applyBorder="0" applyAlignment="0" applyProtection="0"/>
    <xf numFmtId="0" fontId="92" fillId="64" borderId="0" applyNumberFormat="0" applyBorder="0" applyAlignment="0" applyProtection="0"/>
    <xf numFmtId="0" fontId="92"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167" fillId="19" borderId="0" applyNumberFormat="0" applyBorder="0" applyAlignment="0" applyProtection="0"/>
    <xf numFmtId="0" fontId="93" fillId="65" borderId="0" applyNumberFormat="0" applyBorder="0" applyAlignment="0" applyProtection="0"/>
    <xf numFmtId="0" fontId="93" fillId="3" borderId="0" applyNumberFormat="0" applyBorder="0" applyAlignment="0" applyProtection="0"/>
    <xf numFmtId="0" fontId="168" fillId="3" borderId="0" applyNumberFormat="0" applyBorder="0" applyAlignment="0" applyProtection="0"/>
    <xf numFmtId="202" fontId="165" fillId="0" borderId="0" applyNumberFormat="0" applyFont="0" applyAlignment="0" applyProtection="0"/>
    <xf numFmtId="0" fontId="169" fillId="20" borderId="3" applyNumberFormat="0" applyAlignment="0" applyProtection="0"/>
    <xf numFmtId="0" fontId="95" fillId="63" borderId="4" applyNumberFormat="0" applyAlignment="0" applyProtection="0"/>
    <xf numFmtId="0" fontId="95" fillId="21" borderId="4" applyNumberFormat="0" applyAlignment="0" applyProtection="0"/>
    <xf numFmtId="0" fontId="170" fillId="21" borderId="4" applyNumberFormat="0" applyAlignment="0" applyProtection="0"/>
    <xf numFmtId="41"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8"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171" fillId="0" borderId="0" applyNumberFormat="0" applyFill="0" applyBorder="0" applyAlignment="0" applyProtection="0"/>
    <xf numFmtId="2" fontId="4" fillId="0" borderId="0" applyFont="0" applyFill="0" applyBorder="0" applyAlignment="0" applyProtection="0"/>
    <xf numFmtId="0" fontId="172" fillId="4" borderId="0" applyNumberFormat="0" applyBorder="0" applyAlignment="0" applyProtection="0"/>
    <xf numFmtId="0" fontId="173" fillId="0" borderId="72" applyNumberFormat="0" applyFill="0" applyAlignment="0" applyProtection="0"/>
    <xf numFmtId="0" fontId="174" fillId="0" borderId="73" applyNumberFormat="0" applyFill="0" applyAlignment="0" applyProtection="0"/>
    <xf numFmtId="0" fontId="23" fillId="0" borderId="0" applyFont="0" applyFill="0" applyBorder="0" applyAlignment="0" applyProtection="0"/>
    <xf numFmtId="0" fontId="175" fillId="0" borderId="74" applyNumberFormat="0" applyFill="0" applyAlignment="0" applyProtection="0"/>
    <xf numFmtId="0" fontId="176" fillId="0" borderId="75" applyNumberFormat="0" applyFill="0" applyAlignment="0" applyProtection="0"/>
    <xf numFmtId="0" fontId="8" fillId="0" borderId="0" applyFont="0" applyFill="0" applyBorder="0" applyAlignment="0" applyProtection="0"/>
    <xf numFmtId="0" fontId="177" fillId="0" borderId="76" applyNumberFormat="0" applyFill="0" applyAlignment="0" applyProtection="0"/>
    <xf numFmtId="0" fontId="102" fillId="0" borderId="5" applyNumberFormat="0" applyFill="0" applyAlignment="0" applyProtection="0"/>
    <xf numFmtId="0" fontId="178" fillId="0" borderId="5" applyNumberFormat="0" applyFill="0" applyAlignment="0" applyProtection="0"/>
    <xf numFmtId="0" fontId="177"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7" borderId="3" applyNumberFormat="0" applyAlignment="0" applyProtection="0"/>
    <xf numFmtId="0" fontId="183" fillId="0" borderId="7" applyNumberFormat="0" applyFill="0" applyAlignment="0" applyProtection="0"/>
    <xf numFmtId="0" fontId="184" fillId="22" borderId="0" applyNumberFormat="0" applyBorder="0" applyAlignment="0" applyProtection="0"/>
    <xf numFmtId="37" fontId="165" fillId="0" borderId="0"/>
    <xf numFmtId="37" fontId="165" fillId="0" borderId="0"/>
    <xf numFmtId="37" fontId="165" fillId="0" borderId="0"/>
    <xf numFmtId="37" fontId="165" fillId="0" borderId="0"/>
    <xf numFmtId="37" fontId="165" fillId="0" borderId="0"/>
    <xf numFmtId="37" fontId="165" fillId="0" borderId="0"/>
    <xf numFmtId="0" fontId="24" fillId="0" borderId="0"/>
    <xf numFmtId="0" fontId="2" fillId="0" borderId="0"/>
    <xf numFmtId="37" fontId="165" fillId="0" borderId="0"/>
    <xf numFmtId="0" fontId="4" fillId="0" borderId="0"/>
    <xf numFmtId="37" fontId="165" fillId="0" borderId="0"/>
    <xf numFmtId="0" fontId="2"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202" fontId="165" fillId="0" borderId="0"/>
    <xf numFmtId="37" fontId="165" fillId="0" borderId="0"/>
    <xf numFmtId="0" fontId="2" fillId="0" borderId="0"/>
    <xf numFmtId="0" fontId="4" fillId="0" borderId="0"/>
    <xf numFmtId="0" fontId="4" fillId="23" borderId="3" applyNumberFormat="0" applyFont="0" applyAlignment="0" applyProtection="0"/>
    <xf numFmtId="0" fontId="4" fillId="23" borderId="3"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2" fillId="60" borderId="61" applyNumberFormat="0" applyFont="0" applyAlignment="0" applyProtection="0"/>
    <xf numFmtId="0" fontId="166" fillId="23" borderId="8" applyNumberFormat="0" applyFont="0" applyAlignment="0" applyProtection="0"/>
    <xf numFmtId="202" fontId="59" fillId="0" borderId="0" applyProtection="0"/>
    <xf numFmtId="0" fontId="185" fillId="20"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2"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25" fillId="0" borderId="6">
      <alignment horizontal="center"/>
    </xf>
    <xf numFmtId="3" fontId="24" fillId="0" borderId="0" applyFont="0" applyFill="0" applyBorder="0" applyAlignment="0" applyProtection="0"/>
    <xf numFmtId="0" fontId="24" fillId="24" borderId="0" applyNumberFormat="0" applyFont="0" applyBorder="0" applyAlignment="0" applyProtection="0"/>
    <xf numFmtId="0" fontId="186" fillId="0" borderId="0" applyNumberFormat="0" applyFill="0" applyBorder="0" applyAlignment="0" applyProtection="0"/>
    <xf numFmtId="0" fontId="55" fillId="0" borderId="0" applyNumberFormat="0" applyFill="0" applyBorder="0" applyAlignment="0" applyProtection="0"/>
    <xf numFmtId="0" fontId="187" fillId="0" borderId="77" applyNumberFormat="0" applyFill="0" applyAlignment="0" applyProtection="0"/>
    <xf numFmtId="0" fontId="187" fillId="0" borderId="78" applyNumberFormat="0" applyFill="0" applyAlignment="0" applyProtection="0"/>
    <xf numFmtId="0" fontId="4" fillId="0" borderId="0" applyFont="0" applyFill="0" applyBorder="0" applyAlignment="0" applyProtection="0"/>
    <xf numFmtId="0" fontId="188"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40" fillId="21" borderId="4"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6" fillId="7" borderId="3" applyNumberFormat="0" applyAlignment="0" applyProtection="0"/>
    <xf numFmtId="0" fontId="47" fillId="0" borderId="7" applyNumberFormat="0" applyFill="0" applyAlignment="0" applyProtection="0"/>
    <xf numFmtId="0" fontId="48" fillId="22" borderId="0" applyNumberFormat="0" applyBorder="0" applyAlignment="0" applyProtection="0"/>
    <xf numFmtId="0" fontId="4" fillId="0" borderId="0"/>
    <xf numFmtId="0" fontId="4" fillId="0" borderId="0"/>
    <xf numFmtId="3" fontId="4" fillId="0" borderId="0"/>
    <xf numFmtId="0" fontId="5" fillId="23" borderId="8" applyNumberFormat="0" applyFont="0" applyAlignment="0" applyProtection="0"/>
    <xf numFmtId="0" fontId="49" fillId="20" borderId="9" applyNumberFormat="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56" fillId="0" borderId="0" applyNumberFormat="0" applyFill="0" applyBorder="0" applyAlignment="0" applyProtection="0"/>
    <xf numFmtId="0" fontId="27" fillId="12" borderId="0" applyNumberFormat="0" applyBorder="0" applyAlignment="0" applyProtection="0"/>
    <xf numFmtId="43" fontId="4" fillId="0" borderId="0" applyFont="0" applyFill="0" applyBorder="0" applyAlignment="0" applyProtection="0"/>
    <xf numFmtId="0" fontId="39" fillId="20" borderId="3"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8"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209" fillId="0" borderId="0" applyFont="0" applyFill="0" applyBorder="0" applyAlignment="0" applyProtection="0"/>
    <xf numFmtId="43" fontId="209" fillId="0" borderId="0" applyFont="0" applyFill="0" applyBorder="0" applyAlignment="0" applyProtection="0"/>
  </cellStyleXfs>
  <cellXfs count="2607">
    <xf numFmtId="0" fontId="0" fillId="0" borderId="0" xfId="0"/>
    <xf numFmtId="0" fontId="5" fillId="0" borderId="0" xfId="881" applyNumberFormat="1" applyFont="1" applyFill="1"/>
    <xf numFmtId="172" fontId="5" fillId="0" borderId="0" xfId="881" applyFont="1" applyFill="1" applyAlignment="1"/>
    <xf numFmtId="172" fontId="7" fillId="0" borderId="0" xfId="881" applyFont="1" applyFill="1" applyAlignment="1" applyProtection="1">
      <protection locked="0"/>
    </xf>
    <xf numFmtId="0" fontId="7" fillId="0" borderId="0" xfId="881" applyNumberFormat="1" applyFont="1" applyFill="1" applyProtection="1">
      <protection locked="0"/>
    </xf>
    <xf numFmtId="3" fontId="7" fillId="0" borderId="0" xfId="881" applyNumberFormat="1" applyFont="1" applyFill="1" applyAlignment="1" applyProtection="1">
      <protection locked="0"/>
    </xf>
    <xf numFmtId="0" fontId="7" fillId="0" borderId="0" xfId="881" applyNumberFormat="1" applyFont="1" applyFill="1" applyAlignment="1" applyProtection="1">
      <protection locked="0"/>
    </xf>
    <xf numFmtId="172" fontId="7" fillId="0" borderId="0" xfId="881" applyFont="1" applyFill="1" applyAlignment="1"/>
    <xf numFmtId="0" fontId="7" fillId="0" borderId="0" xfId="881" applyNumberFormat="1" applyFont="1" applyFill="1" applyBorder="1" applyAlignment="1" applyProtection="1">
      <protection locked="0"/>
    </xf>
    <xf numFmtId="0" fontId="7" fillId="0" borderId="0" xfId="881" applyNumberFormat="1" applyFont="1" applyFill="1" applyBorder="1" applyAlignment="1" applyProtection="1">
      <alignment horizontal="center"/>
      <protection locked="0"/>
    </xf>
    <xf numFmtId="0" fontId="7" fillId="0" borderId="0" xfId="881" applyNumberFormat="1" applyFont="1" applyFill="1" applyAlignment="1" applyProtection="1">
      <alignment horizontal="center"/>
      <protection locked="0"/>
    </xf>
    <xf numFmtId="172" fontId="7" fillId="0" borderId="0" xfId="881" applyFont="1" applyFill="1" applyAlignment="1" applyProtection="1">
      <alignment horizontal="center"/>
      <protection locked="0"/>
    </xf>
    <xf numFmtId="0" fontId="7" fillId="0" borderId="0" xfId="881" applyNumberFormat="1" applyFont="1" applyFill="1"/>
    <xf numFmtId="0" fontId="5" fillId="0" borderId="0" xfId="881" applyNumberFormat="1" applyFont="1" applyFill="1" applyAlignment="1" applyProtection="1">
      <alignment horizontal="center"/>
      <protection locked="0"/>
    </xf>
    <xf numFmtId="172" fontId="5" fillId="0" borderId="0" xfId="881" applyFont="1" applyFill="1" applyAlignment="1" applyProtection="1">
      <protection locked="0"/>
    </xf>
    <xf numFmtId="0" fontId="12" fillId="0" borderId="0" xfId="0" applyFont="1" applyFill="1"/>
    <xf numFmtId="0" fontId="9" fillId="0" borderId="0" xfId="878" applyFont="1" applyFill="1" applyAlignment="1">
      <alignment horizontal="center"/>
    </xf>
    <xf numFmtId="0" fontId="15" fillId="0" borderId="0" xfId="878" applyFont="1" applyFill="1"/>
    <xf numFmtId="9" fontId="9" fillId="0" borderId="0" xfId="878" quotePrefix="1" applyNumberFormat="1" applyFont="1" applyFill="1" applyAlignment="1">
      <alignment horizontal="center"/>
    </xf>
    <xf numFmtId="0" fontId="17" fillId="0" borderId="0" xfId="878" applyFont="1" applyFill="1" applyAlignment="1">
      <alignment horizontal="center"/>
    </xf>
    <xf numFmtId="0" fontId="7" fillId="0" borderId="0" xfId="881" applyNumberFormat="1" applyFont="1" applyFill="1" applyBorder="1" applyAlignment="1" applyProtection="1">
      <alignment horizontal="left"/>
      <protection locked="0"/>
    </xf>
    <xf numFmtId="41" fontId="7" fillId="0" borderId="0" xfId="881" applyNumberFormat="1" applyFont="1" applyFill="1" applyBorder="1" applyAlignment="1" applyProtection="1">
      <protection locked="0"/>
    </xf>
    <xf numFmtId="0" fontId="7" fillId="0" borderId="0" xfId="0" applyFont="1" applyFill="1" applyAlignment="1"/>
    <xf numFmtId="0" fontId="7" fillId="0" borderId="0" xfId="0" applyFont="1" applyFill="1"/>
    <xf numFmtId="0" fontId="15" fillId="0" borderId="0" xfId="0" applyFont="1" applyFill="1"/>
    <xf numFmtId="0" fontId="12" fillId="0" borderId="0" xfId="878" applyFont="1" applyFill="1"/>
    <xf numFmtId="0" fontId="15" fillId="0" borderId="0" xfId="878" applyFont="1" applyFill="1" applyAlignment="1">
      <alignment horizontal="left"/>
    </xf>
    <xf numFmtId="3" fontId="12" fillId="0" borderId="0" xfId="0" applyNumberFormat="1" applyFont="1" applyFill="1"/>
    <xf numFmtId="0" fontId="7" fillId="0" borderId="0" xfId="878" applyFont="1" applyFill="1" applyAlignment="1">
      <alignment horizontal="right"/>
    </xf>
    <xf numFmtId="40" fontId="12" fillId="0" borderId="0" xfId="0" applyNumberFormat="1" applyFont="1" applyFill="1"/>
    <xf numFmtId="0" fontId="7" fillId="0" borderId="0" xfId="878" applyFont="1" applyFill="1"/>
    <xf numFmtId="0" fontId="9" fillId="0" borderId="0" xfId="878" applyFont="1" applyFill="1" applyBorder="1"/>
    <xf numFmtId="0" fontId="8" fillId="0" borderId="0" xfId="878" applyFont="1" applyFill="1" applyAlignment="1">
      <alignment horizontal="center"/>
    </xf>
    <xf numFmtId="37" fontId="7" fillId="0" borderId="0" xfId="0" applyNumberFormat="1" applyFont="1" applyFill="1" applyAlignment="1"/>
    <xf numFmtId="37" fontId="7" fillId="0" borderId="0" xfId="0" applyNumberFormat="1" applyFont="1" applyFill="1" applyAlignment="1">
      <alignment horizontal="center"/>
    </xf>
    <xf numFmtId="175" fontId="7" fillId="0" borderId="0" xfId="0" applyNumberFormat="1" applyFont="1" applyFill="1"/>
    <xf numFmtId="0" fontId="10" fillId="0" borderId="0" xfId="878" applyFont="1" applyFill="1" applyAlignment="1">
      <alignment horizontal="center"/>
    </xf>
    <xf numFmtId="0" fontId="7" fillId="0" borderId="0" xfId="878" applyFont="1" applyFill="1" applyAlignment="1">
      <alignment horizontal="center"/>
    </xf>
    <xf numFmtId="38" fontId="12" fillId="0" borderId="0" xfId="0" applyNumberFormat="1" applyFont="1" applyFill="1" applyBorder="1" applyAlignment="1"/>
    <xf numFmtId="173" fontId="7" fillId="0" borderId="0" xfId="198" applyNumberFormat="1" applyFont="1" applyFill="1" applyAlignment="1"/>
    <xf numFmtId="43" fontId="7" fillId="0" borderId="0" xfId="878" applyNumberFormat="1" applyFont="1" applyFill="1"/>
    <xf numFmtId="0" fontId="9" fillId="0" borderId="0" xfId="791" quotePrefix="1" applyFont="1" applyFill="1" applyBorder="1" applyAlignment="1">
      <alignment horizontal="center"/>
    </xf>
    <xf numFmtId="0" fontId="9" fillId="0" borderId="0" xfId="0" applyFont="1" applyFill="1" applyAlignment="1">
      <alignment horizontal="center"/>
    </xf>
    <xf numFmtId="3" fontId="10" fillId="0" borderId="0" xfId="0" applyNumberFormat="1" applyFont="1" applyFill="1" applyAlignment="1">
      <alignment horizontal="center"/>
    </xf>
    <xf numFmtId="0" fontId="6" fillId="0" borderId="0" xfId="0" applyFont="1" applyFill="1"/>
    <xf numFmtId="0" fontId="11" fillId="0" borderId="0" xfId="0" applyFont="1" applyFill="1"/>
    <xf numFmtId="0" fontId="60" fillId="0" borderId="0" xfId="882" applyFont="1" applyFill="1"/>
    <xf numFmtId="0" fontId="7" fillId="0" borderId="0" xfId="0" applyNumberFormat="1" applyFont="1" applyFill="1"/>
    <xf numFmtId="173" fontId="60" fillId="0" borderId="13" xfId="198" applyNumberFormat="1" applyFont="1" applyFill="1" applyBorder="1"/>
    <xf numFmtId="173" fontId="7" fillId="0" borderId="0" xfId="198" applyNumberFormat="1" applyFont="1" applyFill="1"/>
    <xf numFmtId="0" fontId="17" fillId="0" borderId="0" xfId="791" applyFont="1" applyFill="1" applyBorder="1" applyAlignment="1">
      <alignment horizontal="center"/>
    </xf>
    <xf numFmtId="0" fontId="17" fillId="0" borderId="0" xfId="0" applyFont="1" applyFill="1" applyAlignment="1">
      <alignment horizontal="center"/>
    </xf>
    <xf numFmtId="0" fontId="14" fillId="0" borderId="0" xfId="878" applyFont="1" applyFill="1"/>
    <xf numFmtId="0" fontId="66" fillId="0" borderId="0" xfId="878" applyFont="1" applyFill="1"/>
    <xf numFmtId="9" fontId="10" fillId="0" borderId="0" xfId="878" quotePrefix="1" applyNumberFormat="1" applyFont="1" applyFill="1" applyAlignment="1">
      <alignment horizontal="center"/>
    </xf>
    <xf numFmtId="0" fontId="18" fillId="0" borderId="0" xfId="882" applyNumberFormat="1" applyFont="1" applyFill="1"/>
    <xf numFmtId="49" fontId="7" fillId="0" borderId="0" xfId="881" applyNumberFormat="1" applyFont="1" applyFill="1" applyProtection="1">
      <protection locked="0"/>
    </xf>
    <xf numFmtId="0" fontId="7" fillId="0" borderId="0" xfId="0" applyNumberFormat="1" applyFont="1" applyFill="1" applyAlignment="1">
      <alignment horizontal="center"/>
    </xf>
    <xf numFmtId="0" fontId="9" fillId="0" borderId="11" xfId="0" applyFont="1" applyFill="1" applyBorder="1" applyAlignment="1">
      <alignment horizontal="center" wrapText="1"/>
    </xf>
    <xf numFmtId="0" fontId="12" fillId="0" borderId="0" xfId="0" applyFont="1" applyFill="1" applyAlignment="1">
      <alignment horizontal="center"/>
    </xf>
    <xf numFmtId="175" fontId="7" fillId="0" borderId="0" xfId="0" applyNumberFormat="1" applyFont="1" applyFill="1" applyBorder="1" applyAlignment="1"/>
    <xf numFmtId="175" fontId="7" fillId="0" borderId="15" xfId="0" applyNumberFormat="1" applyFont="1" applyFill="1" applyBorder="1" applyAlignment="1"/>
    <xf numFmtId="10" fontId="7" fillId="0" borderId="14" xfId="899" applyNumberFormat="1" applyFont="1" applyFill="1" applyBorder="1" applyAlignment="1" applyProtection="1">
      <alignment horizontal="right"/>
      <protection locked="0"/>
    </xf>
    <xf numFmtId="0" fontId="5" fillId="0" borderId="0" xfId="881" applyNumberFormat="1" applyFont="1" applyFill="1" applyProtection="1">
      <protection locked="0"/>
    </xf>
    <xf numFmtId="170" fontId="7" fillId="0" borderId="0" xfId="881" applyNumberFormat="1" applyFont="1" applyFill="1" applyAlignment="1"/>
    <xf numFmtId="1" fontId="7" fillId="0" borderId="0" xfId="881" applyNumberFormat="1" applyFont="1" applyFill="1" applyAlignment="1" applyProtection="1">
      <alignment horizontal="center"/>
      <protection locked="0"/>
    </xf>
    <xf numFmtId="0" fontId="7" fillId="0" borderId="0" xfId="881" applyNumberFormat="1" applyFont="1" applyFill="1" applyAlignment="1" applyProtection="1">
      <alignment horizontal="right"/>
      <protection locked="0"/>
    </xf>
    <xf numFmtId="0" fontId="5" fillId="0" borderId="0" xfId="881" applyNumberFormat="1" applyFont="1" applyFill="1" applyBorder="1" applyAlignment="1" applyProtection="1">
      <alignment horizontal="center"/>
      <protection locked="0"/>
    </xf>
    <xf numFmtId="40" fontId="7" fillId="0" borderId="0" xfId="878" applyNumberFormat="1" applyFont="1" applyFill="1"/>
    <xf numFmtId="37" fontId="80" fillId="0" borderId="0" xfId="878" applyNumberFormat="1" applyFont="1" applyFill="1"/>
    <xf numFmtId="192" fontId="15" fillId="0" borderId="0" xfId="878" applyNumberFormat="1" applyFont="1" applyFill="1"/>
    <xf numFmtId="0" fontId="7" fillId="0" borderId="0" xfId="0" applyFont="1" applyFill="1" applyAlignment="1">
      <alignment horizontal="center"/>
    </xf>
    <xf numFmtId="173" fontId="60" fillId="0" borderId="15" xfId="198" applyNumberFormat="1" applyFont="1" applyFill="1" applyBorder="1"/>
    <xf numFmtId="10" fontId="7" fillId="0" borderId="0" xfId="899" applyNumberFormat="1" applyFont="1" applyFill="1" applyAlignment="1">
      <alignment horizontal="right"/>
    </xf>
    <xf numFmtId="37" fontId="8" fillId="0" borderId="0" xfId="198" applyNumberFormat="1" applyFont="1" applyFill="1" applyAlignment="1">
      <alignment horizontal="center"/>
    </xf>
    <xf numFmtId="0" fontId="12" fillId="0" borderId="0" xfId="0" quotePrefix="1" applyFont="1" applyFill="1" applyAlignment="1">
      <alignment horizontal="left"/>
    </xf>
    <xf numFmtId="38" fontId="15" fillId="0" borderId="0" xfId="878" applyNumberFormat="1" applyFont="1" applyFill="1"/>
    <xf numFmtId="3" fontId="15" fillId="0" borderId="0" xfId="878" applyNumberFormat="1" applyFont="1" applyFill="1"/>
    <xf numFmtId="0" fontId="7" fillId="0" borderId="0" xfId="878" applyFont="1" applyFill="1" applyAlignment="1">
      <alignment horizontal="center" vertical="center"/>
    </xf>
    <xf numFmtId="0" fontId="6" fillId="0" borderId="0" xfId="0" applyFont="1" applyFill="1" applyAlignment="1">
      <alignment wrapText="1"/>
    </xf>
    <xf numFmtId="49" fontId="7" fillId="0" borderId="0" xfId="791" applyNumberFormat="1" applyFont="1" applyFill="1" applyBorder="1" applyAlignment="1">
      <alignment horizontal="center"/>
    </xf>
    <xf numFmtId="0" fontId="7" fillId="0" borderId="0" xfId="0" applyFont="1" applyFill="1" applyAlignment="1">
      <alignment horizontal="center" vertical="center"/>
    </xf>
    <xf numFmtId="0" fontId="18" fillId="0" borderId="0" xfId="880" applyFont="1" applyFill="1" applyAlignment="1">
      <alignment horizontal="center"/>
    </xf>
    <xf numFmtId="0" fontId="18" fillId="0" borderId="0" xfId="880" applyFont="1" applyFill="1" applyAlignment="1">
      <alignment horizontal="left" indent="2"/>
    </xf>
    <xf numFmtId="39" fontId="18" fillId="0" borderId="0" xfId="880" applyNumberFormat="1" applyFont="1" applyFill="1"/>
    <xf numFmtId="184" fontId="9" fillId="0" borderId="0" xfId="882" quotePrefix="1" applyNumberFormat="1" applyFont="1" applyFill="1" applyAlignment="1">
      <alignment horizontal="left"/>
    </xf>
    <xf numFmtId="0" fontId="7" fillId="0" borderId="0" xfId="878" applyFont="1" applyFill="1" applyAlignment="1">
      <alignment horizontal="left"/>
    </xf>
    <xf numFmtId="0" fontId="81" fillId="0" borderId="0" xfId="878" applyFont="1" applyFill="1" applyBorder="1"/>
    <xf numFmtId="41" fontId="7" fillId="0" borderId="0" xfId="878" applyNumberFormat="1" applyFont="1" applyFill="1"/>
    <xf numFmtId="41" fontId="7" fillId="0" borderId="0" xfId="878" applyNumberFormat="1" applyFont="1" applyFill="1" applyBorder="1" applyAlignment="1">
      <alignment vertical="top"/>
    </xf>
    <xf numFmtId="180" fontId="7" fillId="0" borderId="0" xfId="878" applyNumberFormat="1" applyFont="1" applyFill="1"/>
    <xf numFmtId="38" fontId="7" fillId="0" borderId="14" xfId="0" applyNumberFormat="1" applyFont="1" applyFill="1" applyBorder="1"/>
    <xf numFmtId="0" fontId="82" fillId="0" borderId="0" xfId="878" applyFont="1" applyFill="1" applyBorder="1"/>
    <xf numFmtId="41" fontId="7" fillId="0" borderId="14" xfId="878" applyNumberFormat="1" applyFont="1" applyFill="1" applyBorder="1"/>
    <xf numFmtId="37" fontId="7" fillId="0" borderId="0" xfId="878" applyNumberFormat="1" applyFont="1" applyFill="1"/>
    <xf numFmtId="37" fontId="7" fillId="0" borderId="0" xfId="878" applyNumberFormat="1" applyFont="1" applyFill="1" applyBorder="1" applyAlignment="1">
      <alignment vertical="top"/>
    </xf>
    <xf numFmtId="37" fontId="7" fillId="0" borderId="14" xfId="0" applyNumberFormat="1" applyFont="1" applyFill="1" applyBorder="1"/>
    <xf numFmtId="37" fontId="7" fillId="0" borderId="0" xfId="0" applyNumberFormat="1" applyFont="1" applyFill="1"/>
    <xf numFmtId="49" fontId="8" fillId="0" borderId="0" xfId="881" applyNumberFormat="1" applyFont="1" applyFill="1" applyAlignment="1" applyProtection="1">
      <alignment horizontal="center"/>
      <protection locked="0"/>
    </xf>
    <xf numFmtId="0" fontId="12" fillId="0" borderId="0" xfId="0" applyFont="1" applyFill="1" applyAlignment="1">
      <alignment vertical="center"/>
    </xf>
    <xf numFmtId="49" fontId="7" fillId="0" borderId="0" xfId="881" applyNumberFormat="1" applyFont="1" applyFill="1" applyAlignment="1" applyProtection="1">
      <alignment horizontal="center"/>
      <protection locked="0"/>
    </xf>
    <xf numFmtId="0" fontId="8" fillId="0" borderId="0" xfId="881" applyNumberFormat="1" applyFont="1" applyFill="1" applyAlignment="1" applyProtection="1">
      <alignment horizontal="center"/>
      <protection locked="0"/>
    </xf>
    <xf numFmtId="0" fontId="5" fillId="0" borderId="6" xfId="881" applyNumberFormat="1" applyFont="1" applyFill="1" applyBorder="1" applyAlignment="1" applyProtection="1">
      <alignment horizontal="center"/>
      <protection locked="0"/>
    </xf>
    <xf numFmtId="173" fontId="7" fillId="0" borderId="0" xfId="198" applyNumberFormat="1" applyFont="1" applyFill="1" applyBorder="1" applyAlignment="1" applyProtection="1">
      <protection locked="0"/>
    </xf>
    <xf numFmtId="0" fontId="7" fillId="0" borderId="0" xfId="791" applyFont="1" applyFill="1" applyBorder="1" applyAlignment="1">
      <alignment horizontal="center"/>
    </xf>
    <xf numFmtId="3" fontId="6" fillId="0" borderId="0" xfId="0" applyNumberFormat="1" applyFont="1" applyFill="1" applyAlignment="1">
      <alignment horizontal="center"/>
    </xf>
    <xf numFmtId="0" fontId="12" fillId="0" borderId="0" xfId="882" applyFont="1" applyFill="1"/>
    <xf numFmtId="0" fontId="18" fillId="0" borderId="0" xfId="882" applyNumberFormat="1" applyFont="1" applyFill="1" applyAlignment="1">
      <alignment horizontal="center"/>
    </xf>
    <xf numFmtId="0" fontId="12" fillId="0" borderId="0" xfId="882" applyNumberFormat="1" applyFont="1" applyFill="1"/>
    <xf numFmtId="0" fontId="6" fillId="0" borderId="0" xfId="882" applyNumberFormat="1" applyFont="1" applyFill="1" applyAlignment="1">
      <alignment horizontal="center"/>
    </xf>
    <xf numFmtId="0" fontId="6" fillId="0" borderId="0" xfId="882" applyNumberFormat="1" applyFont="1" applyFill="1"/>
    <xf numFmtId="184" fontId="6" fillId="0" borderId="0" xfId="882" applyNumberFormat="1" applyFont="1" applyFill="1" applyAlignment="1">
      <alignment horizontal="center"/>
    </xf>
    <xf numFmtId="0" fontId="62" fillId="0" borderId="0" xfId="882" applyFont="1" applyFill="1"/>
    <xf numFmtId="0" fontId="9" fillId="0" borderId="0" xfId="882" applyFont="1" applyFill="1"/>
    <xf numFmtId="0" fontId="6" fillId="0" borderId="11" xfId="882" applyNumberFormat="1" applyFont="1" applyFill="1" applyBorder="1" applyAlignment="1">
      <alignment horizontal="center"/>
    </xf>
    <xf numFmtId="184" fontId="6" fillId="0" borderId="11" xfId="882" applyNumberFormat="1" applyFont="1" applyFill="1" applyBorder="1" applyAlignment="1">
      <alignment horizontal="center"/>
    </xf>
    <xf numFmtId="0" fontId="62" fillId="0" borderId="11" xfId="882" applyFont="1" applyFill="1" applyBorder="1" applyAlignment="1">
      <alignment horizontal="center"/>
    </xf>
    <xf numFmtId="0" fontId="9" fillId="0" borderId="0" xfId="882" applyFont="1" applyFill="1" applyAlignment="1">
      <alignment horizontal="center"/>
    </xf>
    <xf numFmtId="0" fontId="18" fillId="0" borderId="0" xfId="882" applyNumberFormat="1" applyFont="1" applyFill="1" applyBorder="1" applyAlignment="1">
      <alignment horizontal="center"/>
    </xf>
    <xf numFmtId="184" fontId="18" fillId="0" borderId="0" xfId="882" applyNumberFormat="1" applyFont="1" applyFill="1" applyAlignment="1">
      <alignment horizontal="center"/>
    </xf>
    <xf numFmtId="184" fontId="18" fillId="0" borderId="0" xfId="882" applyNumberFormat="1" applyFont="1" applyFill="1"/>
    <xf numFmtId="0" fontId="18" fillId="0" borderId="0" xfId="882" applyFont="1" applyFill="1"/>
    <xf numFmtId="0" fontId="61" fillId="0" borderId="0" xfId="882" applyFont="1" applyFill="1"/>
    <xf numFmtId="173" fontId="60" fillId="0" borderId="0" xfId="882" applyNumberFormat="1" applyFont="1" applyFill="1" applyBorder="1"/>
    <xf numFmtId="0" fontId="60" fillId="0" borderId="0" xfId="882" applyFont="1" applyFill="1" applyBorder="1"/>
    <xf numFmtId="173" fontId="63" fillId="0" borderId="0" xfId="198" applyNumberFormat="1" applyFont="1" applyFill="1"/>
    <xf numFmtId="43" fontId="60" fillId="0" borderId="0" xfId="198" applyFont="1" applyFill="1"/>
    <xf numFmtId="43" fontId="63" fillId="0" borderId="0" xfId="198" applyFont="1" applyFill="1"/>
    <xf numFmtId="0" fontId="60" fillId="0" borderId="0" xfId="882" applyFont="1" applyFill="1" applyAlignment="1">
      <alignment vertical="center"/>
    </xf>
    <xf numFmtId="43" fontId="60" fillId="0" borderId="0" xfId="198" applyFont="1" applyFill="1" applyAlignment="1">
      <alignment vertical="center"/>
    </xf>
    <xf numFmtId="43" fontId="63" fillId="0" borderId="0" xfId="198" applyFont="1" applyFill="1" applyAlignment="1">
      <alignment horizontal="right" vertical="center"/>
    </xf>
    <xf numFmtId="0" fontId="12" fillId="0" borderId="0" xfId="882" applyNumberFormat="1" applyFont="1" applyFill="1" applyAlignment="1">
      <alignment horizontal="center"/>
    </xf>
    <xf numFmtId="184" fontId="12" fillId="0" borderId="0" xfId="882" applyNumberFormat="1" applyFont="1" applyFill="1"/>
    <xf numFmtId="0" fontId="18" fillId="0" borderId="0" xfId="0" applyFont="1" applyFill="1"/>
    <xf numFmtId="191" fontId="12" fillId="0" borderId="0" xfId="0" applyNumberFormat="1" applyFont="1" applyFill="1"/>
    <xf numFmtId="10" fontId="7" fillId="0" borderId="11" xfId="899" applyNumberFormat="1" applyFont="1" applyFill="1" applyBorder="1" applyAlignment="1" applyProtection="1">
      <protection locked="0"/>
    </xf>
    <xf numFmtId="173" fontId="7" fillId="0" borderId="14" xfId="198" applyNumberFormat="1" applyFont="1" applyFill="1" applyBorder="1" applyAlignment="1"/>
    <xf numFmtId="0" fontId="7" fillId="0" borderId="0" xfId="791" applyFont="1" applyFill="1" applyBorder="1" applyAlignment="1"/>
    <xf numFmtId="3" fontId="7" fillId="0" borderId="0" xfId="0" applyNumberFormat="1" applyFont="1" applyFill="1" applyBorder="1" applyAlignment="1">
      <alignment horizontal="center"/>
    </xf>
    <xf numFmtId="49" fontId="7" fillId="0" borderId="0" xfId="791" applyNumberFormat="1" applyFont="1" applyFill="1" applyBorder="1" applyAlignment="1">
      <alignment horizontal="left"/>
    </xf>
    <xf numFmtId="43" fontId="7" fillId="0" borderId="0" xfId="198" applyFont="1" applyFill="1" applyAlignment="1">
      <alignment vertical="center"/>
    </xf>
    <xf numFmtId="173" fontId="7" fillId="0" borderId="0" xfId="198" applyNumberFormat="1" applyFont="1" applyFill="1" applyAlignment="1">
      <alignment vertical="center"/>
    </xf>
    <xf numFmtId="0" fontId="7" fillId="0" borderId="0" xfId="775" applyFont="1" applyFill="1"/>
    <xf numFmtId="37" fontId="113" fillId="0" borderId="0" xfId="0" applyNumberFormat="1" applyFont="1" applyFill="1" applyAlignment="1"/>
    <xf numFmtId="175" fontId="113" fillId="0" borderId="0" xfId="0" applyNumberFormat="1" applyFont="1" applyFill="1" applyBorder="1" applyAlignment="1"/>
    <xf numFmtId="0" fontId="113" fillId="0" borderId="0" xfId="0" applyFont="1" applyFill="1"/>
    <xf numFmtId="0" fontId="12" fillId="0" borderId="0" xfId="775"/>
    <xf numFmtId="10" fontId="19" fillId="27" borderId="0" xfId="899" applyNumberFormat="1" applyFont="1" applyFill="1" applyBorder="1"/>
    <xf numFmtId="173" fontId="84" fillId="27" borderId="0" xfId="198" applyNumberFormat="1" applyFont="1" applyFill="1" applyBorder="1"/>
    <xf numFmtId="0" fontId="8" fillId="0" borderId="0" xfId="0" applyFont="1" applyFill="1" applyAlignment="1">
      <alignment horizontal="center"/>
    </xf>
    <xf numFmtId="0" fontId="6" fillId="0" borderId="0" xfId="878" applyFont="1" applyFill="1" applyAlignment="1">
      <alignment horizontal="left"/>
    </xf>
    <xf numFmtId="0" fontId="8" fillId="0" borderId="0" xfId="0" quotePrefix="1" applyFont="1" applyFill="1" applyAlignment="1">
      <alignment horizontal="left"/>
    </xf>
    <xf numFmtId="0" fontId="12" fillId="0" borderId="0" xfId="878" applyFont="1" applyFill="1" applyAlignment="1">
      <alignment horizontal="center"/>
    </xf>
    <xf numFmtId="0" fontId="11" fillId="0" borderId="0" xfId="0" applyFont="1" applyFill="1" applyAlignment="1">
      <alignment horizontal="center"/>
    </xf>
    <xf numFmtId="0" fontId="9" fillId="0" borderId="0" xfId="878" applyFont="1" applyFill="1" applyBorder="1" applyAlignment="1">
      <alignment horizontal="left"/>
    </xf>
    <xf numFmtId="9" fontId="9" fillId="0" borderId="0" xfId="878" applyNumberFormat="1" applyFont="1" applyFill="1" applyAlignment="1">
      <alignment horizontal="center"/>
    </xf>
    <xf numFmtId="38" fontId="12" fillId="0" borderId="0" xfId="0" quotePrefix="1" applyNumberFormat="1" applyFont="1" applyFill="1" applyBorder="1" applyAlignment="1">
      <alignment horizontal="center"/>
    </xf>
    <xf numFmtId="0" fontId="9" fillId="0" borderId="0" xfId="878" applyFont="1" applyFill="1" applyBorder="1" applyAlignment="1">
      <alignment vertical="center"/>
    </xf>
    <xf numFmtId="0" fontId="16" fillId="0" borderId="0" xfId="878" applyFont="1" applyFill="1" applyAlignment="1">
      <alignment horizontal="center"/>
    </xf>
    <xf numFmtId="0" fontId="11" fillId="0" borderId="0" xfId="878" applyFont="1" applyFill="1" applyAlignment="1">
      <alignment horizontal="center"/>
    </xf>
    <xf numFmtId="185" fontId="12" fillId="0" borderId="0" xfId="0" quotePrefix="1" applyNumberFormat="1" applyFont="1" applyFill="1" applyBorder="1" applyAlignment="1">
      <alignment horizontal="center"/>
    </xf>
    <xf numFmtId="0" fontId="12" fillId="0" borderId="0" xfId="878" applyFont="1" applyFill="1" applyAlignment="1"/>
    <xf numFmtId="0" fontId="13" fillId="0" borderId="0" xfId="878" applyFont="1" applyFill="1" applyAlignment="1">
      <alignment horizontal="center"/>
    </xf>
    <xf numFmtId="185" fontId="12" fillId="0" borderId="0" xfId="0" applyNumberFormat="1" applyFont="1" applyFill="1" applyBorder="1" applyAlignment="1">
      <alignment horizontal="center"/>
    </xf>
    <xf numFmtId="38" fontId="12" fillId="0" borderId="0" xfId="0" applyNumberFormat="1" applyFont="1" applyFill="1" applyBorder="1" applyAlignment="1">
      <alignment horizontal="left"/>
    </xf>
    <xf numFmtId="0" fontId="31" fillId="0" borderId="0" xfId="878" applyFont="1" applyFill="1" applyAlignment="1">
      <alignment horizontal="left"/>
    </xf>
    <xf numFmtId="0" fontId="10" fillId="0" borderId="0" xfId="878" applyFont="1" applyFill="1" applyAlignment="1">
      <alignment horizontal="left"/>
    </xf>
    <xf numFmtId="3" fontId="8" fillId="0" borderId="0" xfId="198" applyNumberFormat="1" applyFont="1" applyFill="1" applyAlignment="1"/>
    <xf numFmtId="0" fontId="90" fillId="0" borderId="0" xfId="878" applyFont="1" applyFill="1" applyAlignment="1">
      <alignment horizontal="center"/>
    </xf>
    <xf numFmtId="0" fontId="8" fillId="0" borderId="0" xfId="878" applyNumberFormat="1" applyFont="1" applyFill="1" applyAlignment="1">
      <alignment horizontal="center"/>
    </xf>
    <xf numFmtId="0" fontId="7" fillId="0" borderId="0" xfId="878" applyNumberFormat="1" applyFont="1" applyFill="1" applyAlignment="1">
      <alignment horizontal="center"/>
    </xf>
    <xf numFmtId="0" fontId="7" fillId="0" borderId="0" xfId="878" applyNumberFormat="1" applyFont="1" applyFill="1" applyAlignment="1">
      <alignment horizontal="left"/>
    </xf>
    <xf numFmtId="0" fontId="22" fillId="0" borderId="0" xfId="878" applyNumberFormat="1" applyFont="1" applyFill="1" applyAlignment="1">
      <alignment horizontal="left"/>
    </xf>
    <xf numFmtId="0" fontId="12" fillId="0" borderId="0" xfId="775" applyFont="1" applyFill="1"/>
    <xf numFmtId="0" fontId="7" fillId="0" borderId="0" xfId="275" applyNumberFormat="1" applyFont="1" applyFill="1" applyAlignment="1">
      <alignment horizontal="center"/>
    </xf>
    <xf numFmtId="0" fontId="7" fillId="0" borderId="0" xfId="775" applyNumberFormat="1" applyFont="1" applyFill="1" applyAlignment="1">
      <alignment horizontal="center"/>
    </xf>
    <xf numFmtId="0" fontId="7" fillId="0" borderId="0" xfId="775" applyFont="1" applyFill="1" applyAlignment="1"/>
    <xf numFmtId="172" fontId="8" fillId="0" borderId="0" xfId="881" applyFont="1" applyFill="1" applyAlignment="1">
      <alignment horizontal="center"/>
    </xf>
    <xf numFmtId="0" fontId="8" fillId="0" borderId="0" xfId="881" quotePrefix="1" applyNumberFormat="1" applyFont="1" applyFill="1" applyAlignment="1" applyProtection="1">
      <alignment horizontal="center"/>
      <protection locked="0"/>
    </xf>
    <xf numFmtId="173" fontId="7" fillId="0" borderId="0" xfId="275" applyNumberFormat="1" applyFont="1" applyFill="1" applyAlignment="1"/>
    <xf numFmtId="172" fontId="29" fillId="0" borderId="0" xfId="881" applyFont="1" applyFill="1" applyAlignment="1"/>
    <xf numFmtId="0" fontId="7" fillId="0" borderId="0" xfId="775" applyNumberFormat="1" applyFont="1" applyFill="1"/>
    <xf numFmtId="170" fontId="7" fillId="0" borderId="0" xfId="881" applyNumberFormat="1" applyFont="1" applyFill="1" applyAlignment="1" applyProtection="1">
      <protection locked="0"/>
    </xf>
    <xf numFmtId="173" fontId="7" fillId="0" borderId="0" xfId="275" applyNumberFormat="1" applyFont="1" applyFill="1" applyAlignment="1" applyProtection="1">
      <protection locked="0"/>
    </xf>
    <xf numFmtId="0" fontId="7" fillId="0" borderId="0" xfId="775" applyNumberFormat="1" applyFont="1" applyFill="1" applyAlignment="1">
      <alignment horizontal="right"/>
    </xf>
    <xf numFmtId="0" fontId="7" fillId="0" borderId="36" xfId="881" applyNumberFormat="1" applyFont="1" applyFill="1" applyBorder="1" applyAlignment="1" applyProtection="1">
      <alignment horizontal="center"/>
      <protection locked="0"/>
    </xf>
    <xf numFmtId="0" fontId="8" fillId="0" borderId="36" xfId="881" applyNumberFormat="1" applyFont="1" applyFill="1" applyBorder="1" applyProtection="1">
      <protection locked="0"/>
    </xf>
    <xf numFmtId="172" fontId="8" fillId="0" borderId="36" xfId="881" applyFont="1" applyFill="1" applyBorder="1" applyAlignment="1"/>
    <xf numFmtId="172" fontId="8" fillId="0" borderId="36" xfId="881" applyFont="1" applyFill="1" applyBorder="1" applyAlignment="1" applyProtection="1">
      <protection locked="0"/>
    </xf>
    <xf numFmtId="172" fontId="8" fillId="0" borderId="0" xfId="881" applyFont="1" applyFill="1" applyBorder="1" applyAlignment="1" applyProtection="1">
      <protection locked="0"/>
    </xf>
    <xf numFmtId="0" fontId="8" fillId="0" borderId="0" xfId="775" applyNumberFormat="1" applyFont="1" applyFill="1" applyBorder="1"/>
    <xf numFmtId="0" fontId="8" fillId="0" borderId="0" xfId="775" applyNumberFormat="1" applyFont="1" applyFill="1"/>
    <xf numFmtId="174" fontId="7" fillId="0" borderId="0" xfId="551" applyNumberFormat="1" applyFont="1" applyFill="1"/>
    <xf numFmtId="174" fontId="7" fillId="0" borderId="0" xfId="881" applyNumberFormat="1" applyFont="1" applyFill="1"/>
    <xf numFmtId="43" fontId="7" fillId="0" borderId="0" xfId="881" applyNumberFormat="1" applyFont="1" applyFill="1"/>
    <xf numFmtId="3" fontId="7" fillId="0" borderId="0" xfId="775" applyNumberFormat="1" applyFont="1" applyFill="1" applyAlignment="1">
      <alignment horizontal="center"/>
    </xf>
    <xf numFmtId="0" fontId="7" fillId="0" borderId="0" xfId="775" quotePrefix="1" applyNumberFormat="1" applyFont="1" applyFill="1" applyAlignment="1">
      <alignment horizontal="left"/>
    </xf>
    <xf numFmtId="173" fontId="77" fillId="0" borderId="0" xfId="275" applyNumberFormat="1" applyFont="1" applyFill="1" applyAlignment="1"/>
    <xf numFmtId="0" fontId="7" fillId="0" borderId="36" xfId="775" applyNumberFormat="1" applyFont="1" applyFill="1" applyBorder="1"/>
    <xf numFmtId="1" fontId="7" fillId="0" borderId="36" xfId="881" applyNumberFormat="1" applyFont="1" applyFill="1" applyBorder="1" applyAlignment="1" applyProtection="1">
      <alignment horizontal="center"/>
      <protection locked="0"/>
    </xf>
    <xf numFmtId="0" fontId="77" fillId="0" borderId="0" xfId="881" applyNumberFormat="1" applyFont="1" applyFill="1" applyProtection="1">
      <protection locked="0"/>
    </xf>
    <xf numFmtId="0" fontId="77" fillId="0" borderId="0" xfId="775" applyNumberFormat="1" applyFont="1" applyFill="1"/>
    <xf numFmtId="0" fontId="5" fillId="0" borderId="0" xfId="775" applyFont="1" applyFill="1"/>
    <xf numFmtId="1" fontId="21" fillId="0" borderId="0" xfId="775" quotePrefix="1" applyNumberFormat="1" applyFont="1" applyFill="1" applyAlignment="1">
      <alignment horizontal="center"/>
    </xf>
    <xf numFmtId="1" fontId="20" fillId="0" borderId="0" xfId="775" applyNumberFormat="1" applyFont="1" applyFill="1" applyBorder="1"/>
    <xf numFmtId="1" fontId="20" fillId="0" borderId="0" xfId="775" applyNumberFormat="1" applyFont="1" applyFill="1"/>
    <xf numFmtId="1" fontId="12" fillId="0" borderId="0" xfId="775" applyNumberFormat="1" applyFill="1"/>
    <xf numFmtId="1" fontId="9" fillId="0" borderId="0" xfId="775" applyNumberFormat="1" applyFont="1" applyFill="1" applyAlignment="1">
      <alignment horizontal="centerContinuous"/>
    </xf>
    <xf numFmtId="1" fontId="12" fillId="0" borderId="0" xfId="775" applyNumberFormat="1" applyFill="1" applyAlignment="1">
      <alignment horizontal="center"/>
    </xf>
    <xf numFmtId="1" fontId="9" fillId="0" borderId="0" xfId="775" quotePrefix="1" applyNumberFormat="1" applyFont="1" applyFill="1" applyAlignment="1">
      <alignment horizontal="centerContinuous"/>
    </xf>
    <xf numFmtId="1" fontId="12" fillId="0" borderId="0" xfId="775" applyNumberFormat="1" applyFont="1" applyFill="1" applyAlignment="1">
      <alignment horizontal="centerContinuous"/>
    </xf>
    <xf numFmtId="1" fontId="6" fillId="0" borderId="0" xfId="775" applyNumberFormat="1" applyFont="1" applyFill="1" applyAlignment="1">
      <alignment horizontal="centerContinuous"/>
    </xf>
    <xf numFmtId="1" fontId="21" fillId="0" borderId="0" xfId="775" applyNumberFormat="1" applyFont="1" applyFill="1" applyAlignment="1">
      <alignment horizontal="centerContinuous"/>
    </xf>
    <xf numFmtId="1" fontId="20" fillId="0" borderId="0" xfId="775" applyNumberFormat="1" applyFont="1" applyFill="1" applyAlignment="1">
      <alignment horizontal="left"/>
    </xf>
    <xf numFmtId="1" fontId="21" fillId="0" borderId="0" xfId="853" applyNumberFormat="1" applyFont="1" applyFill="1" applyAlignment="1">
      <alignment horizontal="center" wrapText="1"/>
    </xf>
    <xf numFmtId="1" fontId="21" fillId="0" borderId="0" xfId="775" applyNumberFormat="1" applyFont="1" applyFill="1" applyAlignment="1">
      <alignment horizontal="right"/>
    </xf>
    <xf numFmtId="194" fontId="21" fillId="0" borderId="0" xfId="853" applyNumberFormat="1" applyFont="1" applyFill="1" applyAlignment="1">
      <alignment horizontal="center" wrapText="1"/>
    </xf>
    <xf numFmtId="1" fontId="21" fillId="0" borderId="0" xfId="775" applyNumberFormat="1" applyFont="1" applyFill="1" applyAlignment="1">
      <alignment horizontal="center"/>
    </xf>
    <xf numFmtId="1" fontId="20" fillId="0" borderId="0" xfId="775" applyNumberFormat="1" applyFont="1" applyFill="1" applyAlignment="1">
      <alignment horizontal="center"/>
    </xf>
    <xf numFmtId="1" fontId="21" fillId="0" borderId="0" xfId="853" quotePrefix="1" applyNumberFormat="1" applyFont="1" applyFill="1" applyAlignment="1">
      <alignment horizontal="center"/>
    </xf>
    <xf numFmtId="1" fontId="21" fillId="0" borderId="6" xfId="775" applyNumberFormat="1" applyFont="1" applyFill="1" applyBorder="1"/>
    <xf numFmtId="1" fontId="20" fillId="0" borderId="6" xfId="775" applyNumberFormat="1" applyFont="1" applyFill="1" applyBorder="1"/>
    <xf numFmtId="1" fontId="114" fillId="0" borderId="0" xfId="775" applyNumberFormat="1" applyFont="1" applyFill="1"/>
    <xf numFmtId="193" fontId="20" fillId="0" borderId="0" xfId="775" applyNumberFormat="1" applyFont="1" applyFill="1"/>
    <xf numFmtId="1" fontId="21" fillId="0" borderId="0" xfId="775" applyNumberFormat="1" applyFont="1" applyFill="1"/>
    <xf numFmtId="1" fontId="12" fillId="0" borderId="0" xfId="775" applyNumberFormat="1" applyFill="1" applyBorder="1"/>
    <xf numFmtId="1" fontId="21" fillId="0" borderId="11" xfId="775" applyNumberFormat="1" applyFont="1" applyFill="1" applyBorder="1" applyAlignment="1">
      <alignment horizontal="centerContinuous"/>
    </xf>
    <xf numFmtId="1" fontId="20" fillId="0" borderId="11" xfId="775" applyNumberFormat="1" applyFont="1" applyFill="1" applyBorder="1" applyAlignment="1">
      <alignment horizontal="centerContinuous"/>
    </xf>
    <xf numFmtId="1" fontId="20" fillId="0" borderId="0" xfId="775" quotePrefix="1" applyNumberFormat="1" applyFont="1" applyFill="1" applyAlignment="1">
      <alignment horizontal="left"/>
    </xf>
    <xf numFmtId="1" fontId="12" fillId="0" borderId="0" xfId="775" applyNumberFormat="1" applyFont="1" applyFill="1"/>
    <xf numFmtId="1" fontId="9" fillId="0" borderId="6" xfId="775" applyNumberFormat="1" applyFont="1" applyFill="1" applyBorder="1"/>
    <xf numFmtId="1" fontId="12" fillId="0" borderId="6" xfId="775" applyNumberFormat="1" applyFill="1" applyBorder="1"/>
    <xf numFmtId="1" fontId="21" fillId="0" borderId="0" xfId="775" applyNumberFormat="1" applyFont="1" applyFill="1" applyAlignment="1">
      <alignment horizontal="left"/>
    </xf>
    <xf numFmtId="1" fontId="12" fillId="0" borderId="0" xfId="775" applyNumberFormat="1" applyFont="1" applyFill="1" applyAlignment="1">
      <alignment horizontal="right"/>
    </xf>
    <xf numFmtId="3" fontId="6" fillId="0" borderId="0" xfId="0" applyNumberFormat="1" applyFont="1" applyFill="1" applyAlignment="1"/>
    <xf numFmtId="173" fontId="12" fillId="0" borderId="0" xfId="311" applyNumberFormat="1" applyFont="1" applyFill="1"/>
    <xf numFmtId="173" fontId="86" fillId="27" borderId="0" xfId="311" applyNumberFormat="1" applyFont="1" applyFill="1" applyBorder="1"/>
    <xf numFmtId="43" fontId="19" fillId="27" borderId="0" xfId="311" applyFont="1" applyFill="1" applyBorder="1"/>
    <xf numFmtId="173" fontId="19" fillId="27" borderId="0" xfId="311" applyNumberFormat="1" applyFont="1" applyFill="1" applyBorder="1"/>
    <xf numFmtId="0" fontId="0" fillId="0" borderId="0" xfId="0" applyFill="1"/>
    <xf numFmtId="3" fontId="19" fillId="27" borderId="0" xfId="0" quotePrefix="1" applyNumberFormat="1" applyFont="1" applyFill="1" applyAlignment="1">
      <alignment horizontal="left" vertical="top"/>
    </xf>
    <xf numFmtId="37" fontId="19" fillId="27" borderId="0" xfId="0" quotePrefix="1" applyNumberFormat="1" applyFont="1" applyFill="1" applyAlignment="1">
      <alignment horizontal="right" vertical="top"/>
    </xf>
    <xf numFmtId="3" fontId="19" fillId="27" borderId="0" xfId="0" quotePrefix="1" applyNumberFormat="1" applyFont="1" applyFill="1" applyAlignment="1">
      <alignment horizontal="left" vertical="top" wrapText="1"/>
    </xf>
    <xf numFmtId="43" fontId="87" fillId="27" borderId="0" xfId="311" applyFont="1" applyFill="1" applyBorder="1"/>
    <xf numFmtId="0" fontId="115" fillId="0" borderId="0" xfId="882" applyNumberFormat="1" applyFont="1" applyFill="1"/>
    <xf numFmtId="0" fontId="131" fillId="0" borderId="0" xfId="878" applyFont="1" applyFill="1" applyAlignment="1">
      <alignment horizontal="center"/>
    </xf>
    <xf numFmtId="190" fontId="17" fillId="0" borderId="0" xfId="791" applyNumberFormat="1" applyFont="1" applyFill="1" applyBorder="1" applyAlignment="1">
      <alignment horizontal="center"/>
    </xf>
    <xf numFmtId="0" fontId="12" fillId="0" borderId="0" xfId="881" applyNumberFormat="1" applyFont="1" applyFill="1" applyBorder="1" applyAlignment="1" applyProtection="1"/>
    <xf numFmtId="0" fontId="109" fillId="0" borderId="0" xfId="883" applyFont="1" applyFill="1" applyAlignment="1" applyProtection="1">
      <alignment vertical="top"/>
    </xf>
    <xf numFmtId="0" fontId="109" fillId="0" borderId="0" xfId="883" applyFont="1" applyFill="1" applyProtection="1"/>
    <xf numFmtId="0" fontId="8" fillId="0" borderId="0" xfId="879" applyFont="1" applyFill="1" applyBorder="1"/>
    <xf numFmtId="0" fontId="10" fillId="0" borderId="0" xfId="878" applyFont="1" applyFill="1" applyAlignment="1">
      <alignment horizontal="center" wrapText="1"/>
    </xf>
    <xf numFmtId="0" fontId="8" fillId="0" borderId="0" xfId="878" applyFont="1" applyFill="1" applyBorder="1"/>
    <xf numFmtId="0" fontId="12" fillId="0" borderId="0" xfId="775" applyFont="1" applyFill="1" applyAlignment="1">
      <alignment vertical="top" wrapText="1"/>
    </xf>
    <xf numFmtId="0" fontId="6" fillId="0" borderId="0" xfId="0" applyFont="1" applyFill="1" applyAlignment="1">
      <alignment horizontal="center"/>
    </xf>
    <xf numFmtId="10" fontId="7" fillId="27" borderId="0" xfId="899" applyNumberFormat="1" applyFont="1" applyFill="1" applyBorder="1"/>
    <xf numFmtId="37" fontId="7" fillId="0" borderId="0" xfId="0" applyNumberFormat="1" applyFont="1" applyFill="1" applyAlignment="1">
      <alignment horizontal="left"/>
    </xf>
    <xf numFmtId="172" fontId="7" fillId="0" borderId="0" xfId="881" applyFont="1" applyFill="1" applyAlignment="1">
      <alignment horizontal="right"/>
    </xf>
    <xf numFmtId="41" fontId="7" fillId="0" borderId="0" xfId="0" applyNumberFormat="1" applyFont="1" applyFill="1"/>
    <xf numFmtId="3" fontId="19" fillId="27" borderId="0" xfId="0" applyNumberFormat="1" applyFont="1" applyFill="1" applyBorder="1" applyAlignment="1"/>
    <xf numFmtId="9" fontId="19" fillId="27" borderId="11" xfId="899" applyNumberFormat="1" applyFont="1" applyFill="1" applyBorder="1"/>
    <xf numFmtId="9" fontId="19" fillId="27" borderId="11" xfId="0" applyNumberFormat="1" applyFont="1" applyFill="1" applyBorder="1" applyAlignment="1"/>
    <xf numFmtId="173" fontId="20" fillId="27" borderId="0" xfId="312" applyNumberFormat="1" applyFont="1" applyFill="1" applyAlignment="1">
      <alignment horizontal="left"/>
    </xf>
    <xf numFmtId="173" fontId="21" fillId="27" borderId="0" xfId="312" applyNumberFormat="1" applyFont="1" applyFill="1" applyAlignment="1">
      <alignment horizontal="left"/>
    </xf>
    <xf numFmtId="173" fontId="21" fillId="27" borderId="0" xfId="312" applyNumberFormat="1" applyFont="1" applyFill="1" applyBorder="1" applyAlignment="1">
      <alignment horizontal="left"/>
    </xf>
    <xf numFmtId="3" fontId="20" fillId="27" borderId="0" xfId="0" applyNumberFormat="1" applyFont="1" applyFill="1" applyAlignment="1">
      <alignment wrapText="1"/>
    </xf>
    <xf numFmtId="0" fontId="20" fillId="0" borderId="0" xfId="0" quotePrefix="1" applyFont="1" applyAlignment="1">
      <alignment horizontal="left"/>
    </xf>
    <xf numFmtId="0" fontId="20" fillId="0" borderId="0" xfId="0" applyFont="1"/>
    <xf numFmtId="0" fontId="20" fillId="0" borderId="0" xfId="0" quotePrefix="1" applyFont="1" applyFill="1" applyAlignment="1">
      <alignment horizontal="left"/>
    </xf>
    <xf numFmtId="0" fontId="8" fillId="0" borderId="0" xfId="775" applyFont="1" applyFill="1" applyAlignment="1">
      <alignment horizontal="left"/>
    </xf>
    <xf numFmtId="1" fontId="8" fillId="0" borderId="36" xfId="881" applyNumberFormat="1" applyFont="1" applyFill="1" applyBorder="1" applyAlignment="1" applyProtection="1">
      <alignment horizontal="center"/>
      <protection locked="0"/>
    </xf>
    <xf numFmtId="0" fontId="8" fillId="0" borderId="36" xfId="775" applyNumberFormat="1" applyFont="1" applyFill="1" applyBorder="1"/>
    <xf numFmtId="0" fontId="5" fillId="0" borderId="35" xfId="881" applyNumberFormat="1" applyFont="1" applyFill="1" applyBorder="1" applyAlignment="1" applyProtection="1">
      <alignment horizontal="center"/>
      <protection locked="0"/>
    </xf>
    <xf numFmtId="0" fontId="8" fillId="0" borderId="0" xfId="881" applyNumberFormat="1" applyFont="1" applyFill="1" applyBorder="1" applyProtection="1">
      <protection locked="0"/>
    </xf>
    <xf numFmtId="172" fontId="8" fillId="0" borderId="0" xfId="881" applyFont="1" applyFill="1" applyBorder="1" applyAlignment="1"/>
    <xf numFmtId="1" fontId="8" fillId="0" borderId="0" xfId="881" applyNumberFormat="1" applyFont="1" applyFill="1" applyBorder="1" applyAlignment="1" applyProtection="1">
      <alignment horizontal="center"/>
      <protection locked="0"/>
    </xf>
    <xf numFmtId="0" fontId="75" fillId="0" borderId="0" xfId="881" applyNumberFormat="1" applyFont="1" applyFill="1" applyBorder="1" applyAlignment="1" applyProtection="1">
      <alignment horizontal="left"/>
      <protection locked="0"/>
    </xf>
    <xf numFmtId="0" fontId="7" fillId="0" borderId="35" xfId="775" quotePrefix="1" applyNumberFormat="1" applyFont="1" applyFill="1" applyBorder="1" applyAlignment="1">
      <alignment horizontal="left"/>
    </xf>
    <xf numFmtId="0" fontId="86" fillId="27" borderId="0" xfId="882" applyFont="1" applyFill="1"/>
    <xf numFmtId="0" fontId="0" fillId="0" borderId="0" xfId="0" applyBorder="1"/>
    <xf numFmtId="49" fontId="135"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58" fillId="27" borderId="0" xfId="311" applyNumberFormat="1" applyFont="1" applyFill="1" applyBorder="1"/>
    <xf numFmtId="0" fontId="157" fillId="0" borderId="0" xfId="0" applyFont="1" applyFill="1" applyAlignment="1"/>
    <xf numFmtId="172" fontId="157" fillId="0" borderId="0" xfId="881" applyFont="1" applyFill="1" applyAlignment="1"/>
    <xf numFmtId="0" fontId="4" fillId="0" borderId="0" xfId="1172"/>
    <xf numFmtId="0" fontId="157" fillId="0" borderId="0" xfId="882" applyNumberFormat="1" applyFont="1" applyFill="1" applyAlignment="1"/>
    <xf numFmtId="0" fontId="157" fillId="0" borderId="0" xfId="878" applyFont="1" applyFill="1" applyAlignment="1"/>
    <xf numFmtId="1" fontId="157" fillId="0" borderId="0" xfId="775" applyNumberFormat="1" applyFont="1" applyFill="1" applyAlignment="1"/>
    <xf numFmtId="0" fontId="0" fillId="0" borderId="0" xfId="0" applyAlignment="1">
      <alignment horizontal="center"/>
    </xf>
    <xf numFmtId="0" fontId="4" fillId="0" borderId="0" xfId="1172" applyNumberFormat="1" applyFont="1" applyAlignment="1">
      <alignment horizontal="center"/>
    </xf>
    <xf numFmtId="0" fontId="15" fillId="0" borderId="0" xfId="1172" applyFont="1" applyAlignment="1"/>
    <xf numFmtId="0" fontId="15" fillId="0" borderId="0" xfId="1172" applyNumberFormat="1" applyFont="1" applyAlignment="1">
      <alignment horizontal="center"/>
    </xf>
    <xf numFmtId="0" fontId="69" fillId="0" borderId="0" xfId="1173" applyFont="1" applyAlignment="1">
      <alignment horizontal="centerContinuous"/>
    </xf>
    <xf numFmtId="0" fontId="15" fillId="0" borderId="0" xfId="1173" applyFont="1" applyFill="1" applyAlignment="1">
      <alignment horizontal="left"/>
    </xf>
    <xf numFmtId="0" fontId="69" fillId="0" borderId="0" xfId="1173" applyFont="1" applyAlignment="1">
      <alignment horizontal="center"/>
    </xf>
    <xf numFmtId="0" fontId="9" fillId="0" borderId="0" xfId="1173" applyFont="1" applyAlignment="1">
      <alignment horizontal="centerContinuous"/>
    </xf>
    <xf numFmtId="0" fontId="4" fillId="0" borderId="0" xfId="1172" applyFont="1"/>
    <xf numFmtId="0" fontId="4" fillId="0" borderId="53" xfId="1172" applyNumberFormat="1" applyFont="1" applyBorder="1" applyAlignment="1">
      <alignment horizontal="center" wrapText="1"/>
    </xf>
    <xf numFmtId="0" fontId="9" fillId="0" borderId="52" xfId="1173" applyFont="1" applyBorder="1" applyAlignment="1">
      <alignment horizontal="center" wrapText="1"/>
    </xf>
    <xf numFmtId="0" fontId="9" fillId="0" borderId="51" xfId="1173" applyFont="1" applyBorder="1" applyAlignment="1">
      <alignment horizontal="center" wrapText="1"/>
    </xf>
    <xf numFmtId="0" fontId="9" fillId="0" borderId="0" xfId="1173" applyFont="1" applyBorder="1" applyAlignment="1">
      <alignment horizontal="center" wrapText="1"/>
    </xf>
    <xf numFmtId="0" fontId="9" fillId="0" borderId="16" xfId="1173" applyFont="1" applyBorder="1" applyAlignment="1">
      <alignment horizontal="center" wrapText="1"/>
    </xf>
    <xf numFmtId="0" fontId="15" fillId="0" borderId="0" xfId="1172" applyFont="1" applyAlignment="1">
      <alignment wrapText="1"/>
    </xf>
    <xf numFmtId="0" fontId="4" fillId="0" borderId="51" xfId="1172" applyNumberFormat="1" applyFont="1" applyBorder="1" applyAlignment="1">
      <alignment horizontal="center"/>
    </xf>
    <xf numFmtId="0" fontId="9" fillId="0" borderId="50" xfId="1173" applyFont="1" applyBorder="1" applyAlignment="1">
      <alignment horizontal="center"/>
    </xf>
    <xf numFmtId="0" fontId="9" fillId="0" borderId="51" xfId="1173" applyFont="1" applyBorder="1" applyAlignment="1">
      <alignment horizontal="center"/>
    </xf>
    <xf numFmtId="0" fontId="9" fillId="0" borderId="0" xfId="1173" applyFont="1" applyBorder="1" applyAlignment="1">
      <alignment horizontal="center"/>
    </xf>
    <xf numFmtId="0" fontId="9" fillId="0" borderId="10" xfId="1173" applyFont="1" applyBorder="1" applyAlignment="1">
      <alignment horizontal="center"/>
    </xf>
    <xf numFmtId="0" fontId="161" fillId="0" borderId="0" xfId="1172" applyFont="1" applyAlignment="1"/>
    <xf numFmtId="3" fontId="20" fillId="0" borderId="49" xfId="1172" applyNumberFormat="1" applyFont="1" applyFill="1" applyBorder="1" applyAlignment="1">
      <alignment horizontal="center" wrapText="1"/>
    </xf>
    <xf numFmtId="3" fontId="20" fillId="0" borderId="11" xfId="1172" applyNumberFormat="1" applyFont="1" applyFill="1" applyBorder="1" applyAlignment="1">
      <alignment horizontal="center" wrapText="1"/>
    </xf>
    <xf numFmtId="3" fontId="20" fillId="0" borderId="69" xfId="1172" applyNumberFormat="1" applyFont="1" applyFill="1" applyBorder="1" applyAlignment="1">
      <alignment wrapText="1"/>
    </xf>
    <xf numFmtId="0" fontId="4" fillId="0" borderId="50" xfId="1173" quotePrefix="1" applyFont="1" applyBorder="1" applyAlignment="1">
      <alignment horizontal="left"/>
    </xf>
    <xf numFmtId="41" fontId="4" fillId="0" borderId="10" xfId="1173" applyNumberFormat="1" applyFont="1" applyFill="1" applyBorder="1"/>
    <xf numFmtId="0" fontId="4" fillId="0" borderId="50" xfId="1173" applyFont="1" applyBorder="1"/>
    <xf numFmtId="0" fontId="4" fillId="0" borderId="49" xfId="1172" applyNumberFormat="1" applyFont="1" applyBorder="1" applyAlignment="1">
      <alignment horizontal="center"/>
    </xf>
    <xf numFmtId="0" fontId="4" fillId="0" borderId="48" xfId="1173" applyFont="1" applyBorder="1"/>
    <xf numFmtId="0" fontId="4" fillId="0" borderId="29" xfId="1172" applyNumberFormat="1" applyFont="1" applyBorder="1" applyAlignment="1">
      <alignment horizontal="center"/>
    </xf>
    <xf numFmtId="173" fontId="4" fillId="0" borderId="66" xfId="1175" applyNumberFormat="1" applyFont="1" applyBorder="1"/>
    <xf numFmtId="173" fontId="4" fillId="0" borderId="15" xfId="1175" applyNumberFormat="1" applyFont="1" applyBorder="1"/>
    <xf numFmtId="173" fontId="4" fillId="0" borderId="68" xfId="1175" applyNumberFormat="1" applyFont="1" applyBorder="1"/>
    <xf numFmtId="0" fontId="4" fillId="0" borderId="0" xfId="1173" applyFont="1"/>
    <xf numFmtId="37" fontId="4" fillId="0" borderId="0" xfId="1173" applyNumberFormat="1" applyFont="1"/>
    <xf numFmtId="172" fontId="4" fillId="0" borderId="0" xfId="1124" applyFont="1" applyAlignment="1"/>
    <xf numFmtId="3" fontId="20" fillId="0" borderId="69" xfId="1172" applyNumberFormat="1" applyFont="1" applyFill="1" applyBorder="1" applyAlignment="1">
      <alignment horizontal="center" wrapText="1"/>
    </xf>
    <xf numFmtId="0" fontId="15" fillId="0" borderId="0" xfId="1173" applyFont="1"/>
    <xf numFmtId="37" fontId="15" fillId="0" borderId="0" xfId="1173" applyNumberFormat="1" applyFont="1"/>
    <xf numFmtId="172" fontId="15" fillId="0" borderId="0" xfId="1124" applyFont="1" applyAlignment="1"/>
    <xf numFmtId="0" fontId="4" fillId="0" borderId="0" xfId="1176" applyFont="1" applyFill="1" applyAlignment="1" applyProtection="1">
      <alignment vertical="top"/>
    </xf>
    <xf numFmtId="0" fontId="4" fillId="0" borderId="0" xfId="1172" applyFont="1" applyAlignment="1" applyProtection="1">
      <alignment vertical="top" wrapText="1"/>
    </xf>
    <xf numFmtId="0" fontId="161" fillId="0" borderId="0" xfId="1172" applyNumberFormat="1" applyFont="1" applyAlignment="1">
      <alignment horizontal="center"/>
    </xf>
    <xf numFmtId="0" fontId="68" fillId="0" borderId="0" xfId="1177" applyFont="1" applyFill="1" applyProtection="1"/>
    <xf numFmtId="0" fontId="69" fillId="0" borderId="0" xfId="1172" applyFont="1" applyAlignment="1">
      <alignment horizontal="center"/>
    </xf>
    <xf numFmtId="0" fontId="69" fillId="0" borderId="0" xfId="1172" quotePrefix="1" applyFont="1" applyAlignment="1">
      <alignment horizontal="center"/>
    </xf>
    <xf numFmtId="0" fontId="4" fillId="0" borderId="0" xfId="881" applyNumberFormat="1" applyFont="1" applyFill="1" applyBorder="1" applyAlignment="1" applyProtection="1">
      <alignment horizontal="center"/>
    </xf>
    <xf numFmtId="0" fontId="9" fillId="0" borderId="0" xfId="1177" applyFont="1" applyFill="1" applyAlignment="1" applyProtection="1">
      <alignment horizontal="left"/>
    </xf>
    <xf numFmtId="173" fontId="4" fillId="0" borderId="0" xfId="1175" applyNumberFormat="1" applyFont="1" applyFill="1" applyProtection="1"/>
    <xf numFmtId="0" fontId="4" fillId="0" borderId="0" xfId="1177" applyFont="1" applyFill="1" applyProtection="1"/>
    <xf numFmtId="0" fontId="4" fillId="0" borderId="0" xfId="1178"/>
    <xf numFmtId="0" fontId="4" fillId="0" borderId="0" xfId="1179" applyFont="1" applyFill="1" applyAlignment="1" applyProtection="1">
      <alignment horizontal="left"/>
    </xf>
    <xf numFmtId="0" fontId="4" fillId="0" borderId="0" xfId="1176" applyFont="1" applyFill="1" applyAlignment="1" applyProtection="1">
      <alignment horizontal="left"/>
    </xf>
    <xf numFmtId="0" fontId="4" fillId="0" borderId="0" xfId="1178" applyFont="1" applyFill="1" applyAlignment="1" applyProtection="1">
      <alignment wrapText="1"/>
    </xf>
    <xf numFmtId="173" fontId="84" fillId="0" borderId="0" xfId="1175" applyNumberFormat="1" applyFont="1" applyFill="1" applyProtection="1">
      <protection locked="0"/>
    </xf>
    <xf numFmtId="0" fontId="4" fillId="0" borderId="0" xfId="1178" applyFont="1" applyFill="1" applyProtection="1"/>
    <xf numFmtId="0" fontId="4" fillId="0" borderId="0" xfId="1178" applyProtection="1"/>
    <xf numFmtId="10" fontId="4" fillId="0" borderId="0" xfId="1180" applyNumberFormat="1" applyFont="1" applyFill="1" applyBorder="1" applyProtection="1"/>
    <xf numFmtId="10" fontId="9" fillId="0" borderId="0" xfId="1180" applyNumberFormat="1" applyFont="1" applyFill="1" applyBorder="1" applyProtection="1"/>
    <xf numFmtId="0" fontId="9" fillId="0" borderId="0" xfId="1177" applyFont="1" applyFill="1" applyProtection="1"/>
    <xf numFmtId="173" fontId="4" fillId="0" borderId="0" xfId="1180" applyNumberFormat="1" applyFont="1" applyFill="1" applyBorder="1" applyProtection="1"/>
    <xf numFmtId="0" fontId="4" fillId="0" borderId="0" xfId="1177" applyFont="1" applyFill="1" applyAlignment="1" applyProtection="1">
      <alignment horizontal="left"/>
    </xf>
    <xf numFmtId="10" fontId="9" fillId="0" borderId="13" xfId="1180" applyNumberFormat="1" applyFont="1" applyFill="1" applyBorder="1" applyProtection="1"/>
    <xf numFmtId="0" fontId="162" fillId="0" borderId="0" xfId="1178" applyFont="1" applyAlignment="1" applyProtection="1">
      <alignment horizontal="center"/>
    </xf>
    <xf numFmtId="0" fontId="9" fillId="0" borderId="0" xfId="881" applyNumberFormat="1" applyFont="1" applyFill="1" applyBorder="1" applyAlignment="1" applyProtection="1">
      <alignment vertical="center"/>
    </xf>
    <xf numFmtId="0" fontId="164" fillId="0" borderId="0" xfId="1172" applyFont="1" applyProtection="1"/>
    <xf numFmtId="0" fontId="15" fillId="0" borderId="0" xfId="1177" applyFont="1" applyFill="1" applyProtection="1"/>
    <xf numFmtId="0" fontId="15" fillId="0" borderId="0" xfId="1177" applyFont="1" applyProtection="1"/>
    <xf numFmtId="0" fontId="83" fillId="0" borderId="0" xfId="1172" applyFont="1" applyAlignment="1" applyProtection="1"/>
    <xf numFmtId="0" fontId="4" fillId="0" borderId="0" xfId="881" applyNumberFormat="1" applyFont="1" applyFill="1" applyBorder="1" applyAlignment="1" applyProtection="1"/>
    <xf numFmtId="0" fontId="9" fillId="0" borderId="0" xfId="1177" applyFont="1" applyFill="1" applyAlignment="1" applyProtection="1">
      <alignment horizontal="center" wrapText="1"/>
    </xf>
    <xf numFmtId="41" fontId="9" fillId="0" borderId="0" xfId="1177" applyNumberFormat="1" applyFont="1" applyFill="1" applyBorder="1" applyAlignment="1" applyProtection="1">
      <alignment horizontal="center" wrapText="1"/>
    </xf>
    <xf numFmtId="173" fontId="15" fillId="0" borderId="0" xfId="1177" applyNumberFormat="1" applyFont="1" applyFill="1" applyProtection="1"/>
    <xf numFmtId="0" fontId="4" fillId="0" borderId="0" xfId="1172" applyProtection="1"/>
    <xf numFmtId="0" fontId="4" fillId="0" borderId="0" xfId="1172" applyFont="1" applyProtection="1"/>
    <xf numFmtId="0" fontId="4" fillId="0" borderId="11" xfId="1172" applyFont="1" applyBorder="1" applyProtection="1"/>
    <xf numFmtId="0" fontId="15" fillId="0" borderId="11" xfId="1177" applyFont="1" applyFill="1" applyBorder="1" applyProtection="1"/>
    <xf numFmtId="0" fontId="4" fillId="62" borderId="0" xfId="1177" applyFont="1" applyFill="1" applyAlignment="1" applyProtection="1">
      <alignment horizontal="left"/>
    </xf>
    <xf numFmtId="41" fontId="4" fillId="0" borderId="0" xfId="1180" applyNumberFormat="1" applyFont="1" applyFill="1" applyBorder="1" applyProtection="1"/>
    <xf numFmtId="173" fontId="15" fillId="0" borderId="0" xfId="1177" applyNumberFormat="1" applyFont="1" applyProtection="1"/>
    <xf numFmtId="186" fontId="4" fillId="0" borderId="0" xfId="1175" applyNumberFormat="1" applyFont="1" applyFill="1" applyBorder="1" applyProtection="1"/>
    <xf numFmtId="10" fontId="15" fillId="0" borderId="0" xfId="1180" applyNumberFormat="1" applyFont="1" applyFill="1" applyProtection="1"/>
    <xf numFmtId="173" fontId="4" fillId="0" borderId="0" xfId="1175" applyNumberFormat="1" applyFont="1" applyFill="1" applyBorder="1" applyProtection="1"/>
    <xf numFmtId="173" fontId="9" fillId="0" borderId="13" xfId="1175" applyNumberFormat="1" applyFont="1" applyFill="1" applyBorder="1" applyProtection="1"/>
    <xf numFmtId="0" fontId="68" fillId="0" borderId="0" xfId="1177" applyFont="1" applyFill="1" applyAlignment="1" applyProtection="1">
      <alignment horizontal="left"/>
    </xf>
    <xf numFmtId="0" fontId="15" fillId="0" borderId="0" xfId="1177" applyFont="1" applyFill="1" applyAlignment="1" applyProtection="1">
      <alignment horizontal="left"/>
    </xf>
    <xf numFmtId="41" fontId="69" fillId="0" borderId="0" xfId="1177" applyNumberFormat="1" applyFont="1" applyFill="1" applyProtection="1"/>
    <xf numFmtId="0" fontId="15" fillId="0" borderId="11" xfId="1172" applyFont="1" applyBorder="1" applyAlignment="1"/>
    <xf numFmtId="173" fontId="4" fillId="0" borderId="2" xfId="1180" applyNumberFormat="1" applyFont="1" applyFill="1" applyBorder="1" applyProtection="1"/>
    <xf numFmtId="0" fontId="4" fillId="0" borderId="0" xfId="1177" applyFont="1" applyFill="1" applyBorder="1" applyProtection="1"/>
    <xf numFmtId="0" fontId="4" fillId="0" borderId="0" xfId="881" applyNumberFormat="1" applyFont="1" applyFill="1" applyBorder="1" applyAlignment="1" applyProtection="1">
      <alignment horizontal="center" vertical="top"/>
    </xf>
    <xf numFmtId="0" fontId="4" fillId="0" borderId="0" xfId="0" applyFont="1" applyFill="1"/>
    <xf numFmtId="0" fontId="84" fillId="27" borderId="0" xfId="1176" quotePrefix="1" applyFont="1" applyFill="1" applyAlignment="1">
      <alignment horizontal="left"/>
    </xf>
    <xf numFmtId="173" fontId="84" fillId="27" borderId="0" xfId="1184" applyNumberFormat="1" applyFont="1" applyFill="1" applyBorder="1"/>
    <xf numFmtId="0" fontId="156" fillId="0" borderId="29" xfId="1172" applyNumberFormat="1" applyFont="1" applyBorder="1" applyAlignment="1">
      <alignment horizontal="center"/>
    </xf>
    <xf numFmtId="0" fontId="13" fillId="0" borderId="0" xfId="0" applyFont="1" applyFill="1" applyAlignment="1"/>
    <xf numFmtId="0" fontId="7" fillId="0" borderId="0" xfId="791" applyFont="1" applyFill="1" applyBorder="1" applyAlignment="1">
      <alignment horizontal="center"/>
    </xf>
    <xf numFmtId="0" fontId="7" fillId="0" borderId="0" xfId="0" applyFont="1" applyFill="1" applyAlignment="1">
      <alignment horizontal="center"/>
    </xf>
    <xf numFmtId="3" fontId="6" fillId="0" borderId="0" xfId="0" applyNumberFormat="1" applyFont="1" applyFill="1" applyAlignment="1">
      <alignment horizontal="center"/>
    </xf>
    <xf numFmtId="0" fontId="17" fillId="0" borderId="11" xfId="0" applyFont="1" applyFill="1" applyBorder="1" applyAlignment="1">
      <alignment horizontal="center"/>
    </xf>
    <xf numFmtId="3" fontId="54" fillId="0" borderId="0" xfId="760" applyNumberFormat="1" applyFont="1" applyFill="1" applyAlignment="1">
      <alignment horizontal="left" wrapText="1"/>
    </xf>
    <xf numFmtId="0" fontId="4" fillId="0" borderId="0" xfId="0" applyFont="1" applyFill="1" applyBorder="1"/>
    <xf numFmtId="0" fontId="4" fillId="0" borderId="0" xfId="0" applyFont="1" applyFill="1" applyAlignment="1"/>
    <xf numFmtId="0" fontId="4" fillId="0" borderId="0" xfId="0" applyFont="1"/>
    <xf numFmtId="0" fontId="4" fillId="0" borderId="0" xfId="0" applyFont="1" applyFill="1" applyAlignment="1">
      <alignment vertical="center" wrapText="1"/>
    </xf>
    <xf numFmtId="0" fontId="7" fillId="0" borderId="0" xfId="760" applyFont="1" applyFill="1" applyProtection="1"/>
    <xf numFmtId="0" fontId="9" fillId="0" borderId="0" xfId="879" quotePrefix="1" applyFont="1" applyFill="1" applyBorder="1"/>
    <xf numFmtId="173" fontId="4" fillId="0" borderId="0" xfId="198" applyNumberFormat="1" applyFont="1" applyFill="1" applyBorder="1"/>
    <xf numFmtId="173" fontId="4" fillId="27" borderId="0" xfId="198" applyNumberFormat="1" applyFont="1" applyFill="1" applyBorder="1" applyAlignment="1">
      <alignment horizontal="center"/>
    </xf>
    <xf numFmtId="0" fontId="4" fillId="0" borderId="0" xfId="791" applyFont="1" applyFill="1" applyBorder="1"/>
    <xf numFmtId="0" fontId="4" fillId="0" borderId="0" xfId="760" applyFont="1" applyFill="1"/>
    <xf numFmtId="1" fontId="4" fillId="0" borderId="0" xfId="0" applyNumberFormat="1" applyFont="1" applyFill="1" applyAlignment="1">
      <alignment horizontal="center"/>
    </xf>
    <xf numFmtId="43" fontId="4" fillId="0" borderId="0" xfId="202" applyFont="1" applyFill="1" applyBorder="1"/>
    <xf numFmtId="43" fontId="77" fillId="0" borderId="0" xfId="202" applyFont="1" applyFill="1" applyBorder="1"/>
    <xf numFmtId="43" fontId="7" fillId="0" borderId="0" xfId="202" applyFont="1" applyFill="1" applyBorder="1"/>
    <xf numFmtId="43" fontId="9" fillId="0" borderId="0" xfId="202" applyFont="1" applyFill="1" applyBorder="1"/>
    <xf numFmtId="1" fontId="4" fillId="0" borderId="0" xfId="791" applyNumberFormat="1" applyFont="1" applyFill="1" applyBorder="1" applyAlignment="1">
      <alignment horizontal="center"/>
    </xf>
    <xf numFmtId="43" fontId="4" fillId="27" borderId="0" xfId="202" applyFont="1" applyFill="1" applyBorder="1"/>
    <xf numFmtId="43" fontId="77" fillId="27" borderId="0" xfId="202" applyFont="1" applyFill="1" applyBorder="1"/>
    <xf numFmtId="43" fontId="4" fillId="27" borderId="0" xfId="202" applyFont="1" applyFill="1" applyBorder="1" applyAlignment="1">
      <alignment horizontal="center"/>
    </xf>
    <xf numFmtId="0" fontId="4" fillId="27" borderId="0" xfId="202" applyNumberFormat="1" applyFont="1" applyFill="1" applyBorder="1" applyAlignment="1">
      <alignment horizontal="center"/>
    </xf>
    <xf numFmtId="173" fontId="4" fillId="27" borderId="0" xfId="202" applyNumberFormat="1" applyFont="1" applyFill="1" applyBorder="1"/>
    <xf numFmtId="0" fontId="4" fillId="27" borderId="0" xfId="202" quotePrefix="1" applyNumberFormat="1" applyFont="1" applyFill="1" applyBorder="1" applyAlignment="1">
      <alignment horizontal="center"/>
    </xf>
    <xf numFmtId="43" fontId="4" fillId="0" borderId="2" xfId="202" applyFont="1" applyFill="1" applyBorder="1"/>
    <xf numFmtId="43" fontId="77" fillId="0" borderId="2" xfId="202" applyFont="1" applyFill="1" applyBorder="1"/>
    <xf numFmtId="0" fontId="4" fillId="0" borderId="2" xfId="202" applyNumberFormat="1" applyFont="1" applyFill="1" applyBorder="1" applyAlignment="1">
      <alignment horizontal="center"/>
    </xf>
    <xf numFmtId="173" fontId="4" fillId="0" borderId="2" xfId="202" applyNumberFormat="1" applyFont="1" applyFill="1" applyBorder="1"/>
    <xf numFmtId="0" fontId="4" fillId="0" borderId="0" xfId="202" applyNumberFormat="1" applyFont="1" applyFill="1" applyBorder="1" applyAlignment="1">
      <alignment horizontal="center"/>
    </xf>
    <xf numFmtId="173" fontId="4" fillId="0" borderId="0" xfId="202" applyNumberFormat="1" applyFont="1" applyFill="1" applyBorder="1"/>
    <xf numFmtId="0" fontId="4" fillId="0" borderId="0" xfId="791" applyFont="1" applyFill="1" applyBorder="1" applyAlignment="1">
      <alignment horizontal="center"/>
    </xf>
    <xf numFmtId="0" fontId="194" fillId="0" borderId="0" xfId="791" applyFont="1" applyFill="1" applyBorder="1"/>
    <xf numFmtId="0" fontId="4" fillId="0" borderId="11" xfId="791" applyFont="1" applyFill="1" applyBorder="1"/>
    <xf numFmtId="0" fontId="4" fillId="0" borderId="11" xfId="791" applyFont="1" applyFill="1" applyBorder="1" applyAlignment="1">
      <alignment horizontal="center" wrapText="1"/>
    </xf>
    <xf numFmtId="190" fontId="17" fillId="0" borderId="11" xfId="791" applyNumberFormat="1" applyFont="1" applyFill="1" applyBorder="1" applyAlignment="1">
      <alignment horizontal="center" wrapText="1"/>
    </xf>
    <xf numFmtId="0" fontId="17" fillId="0" borderId="11" xfId="791" quotePrefix="1" applyFont="1" applyFill="1" applyBorder="1" applyAlignment="1">
      <alignment horizontal="center" wrapText="1"/>
    </xf>
    <xf numFmtId="14" fontId="4" fillId="27" borderId="0" xfId="202" applyNumberFormat="1" applyFont="1" applyFill="1" applyBorder="1" applyAlignment="1">
      <alignment horizontal="center"/>
    </xf>
    <xf numFmtId="1" fontId="4" fillId="27" borderId="0" xfId="198" applyNumberFormat="1" applyFont="1" applyFill="1" applyBorder="1" applyAlignment="1">
      <alignment horizontal="center"/>
    </xf>
    <xf numFmtId="173" fontId="4" fillId="27" borderId="0" xfId="198" applyNumberFormat="1" applyFont="1" applyFill="1" applyBorder="1"/>
    <xf numFmtId="173" fontId="4" fillId="27" borderId="0" xfId="202" applyNumberFormat="1" applyFont="1" applyFill="1" applyBorder="1" applyAlignment="1">
      <alignment horizontal="center"/>
    </xf>
    <xf numFmtId="181" fontId="4" fillId="27" borderId="0" xfId="202" applyNumberFormat="1" applyFont="1" applyFill="1" applyBorder="1"/>
    <xf numFmtId="173" fontId="4" fillId="0" borderId="0" xfId="198" applyNumberFormat="1" applyFont="1" applyFill="1"/>
    <xf numFmtId="181" fontId="4" fillId="27" borderId="0" xfId="202" applyNumberFormat="1" applyFont="1" applyFill="1" applyBorder="1" applyAlignment="1">
      <alignment horizontal="center"/>
    </xf>
    <xf numFmtId="0" fontId="4" fillId="0" borderId="2" xfId="791" applyFont="1" applyFill="1" applyBorder="1"/>
    <xf numFmtId="173" fontId="4" fillId="0" borderId="2" xfId="198" applyNumberFormat="1" applyFont="1" applyFill="1" applyBorder="1"/>
    <xf numFmtId="3" fontId="54" fillId="0" borderId="0" xfId="760" applyNumberFormat="1" applyFont="1" applyFill="1" applyAlignment="1"/>
    <xf numFmtId="3" fontId="54" fillId="0" borderId="0" xfId="760" applyNumberFormat="1" applyFont="1" applyFill="1" applyAlignment="1">
      <alignment horizontal="center" vertical="top" wrapText="1"/>
    </xf>
    <xf numFmtId="3" fontId="54" fillId="0" borderId="0" xfId="760" applyNumberFormat="1" applyFont="1" applyFill="1" applyAlignment="1">
      <alignment wrapText="1"/>
    </xf>
    <xf numFmtId="3" fontId="54" fillId="0" borderId="0" xfId="760" applyNumberFormat="1" applyFont="1" applyFill="1" applyAlignment="1">
      <alignment horizontal="left" vertical="top" wrapText="1"/>
    </xf>
    <xf numFmtId="0" fontId="7" fillId="0" borderId="0" xfId="799" applyFont="1" applyAlignment="1"/>
    <xf numFmtId="0" fontId="4" fillId="0" borderId="0" xfId="799" applyFont="1"/>
    <xf numFmtId="0" fontId="7" fillId="0" borderId="0" xfId="799" applyFont="1" applyFill="1" applyAlignment="1">
      <alignment horizontal="center"/>
    </xf>
    <xf numFmtId="0" fontId="7"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Alignment="1">
      <alignment horizontal="center"/>
    </xf>
    <xf numFmtId="0" fontId="8" fillId="0" borderId="0" xfId="799" applyFont="1" applyAlignment="1"/>
    <xf numFmtId="0" fontId="7" fillId="0" borderId="0" xfId="799" applyFont="1" applyAlignment="1">
      <alignment horizontal="right"/>
    </xf>
    <xf numFmtId="0" fontId="7" fillId="0" borderId="0" xfId="799" applyFont="1"/>
    <xf numFmtId="0" fontId="14" fillId="0" borderId="0" xfId="799" applyFont="1" applyAlignment="1">
      <alignment horizontal="center" wrapText="1"/>
    </xf>
    <xf numFmtId="0" fontId="14" fillId="0" borderId="0" xfId="799" applyFont="1" applyAlignment="1">
      <alignment horizontal="center"/>
    </xf>
    <xf numFmtId="0" fontId="7" fillId="0" borderId="0" xfId="799" applyFont="1" applyAlignment="1">
      <alignment horizontal="center"/>
    </xf>
    <xf numFmtId="10" fontId="7" fillId="0" borderId="0" xfId="799" applyNumberFormat="1" applyFont="1" applyAlignment="1">
      <alignment horizontal="center"/>
    </xf>
    <xf numFmtId="198" fontId="7" fillId="0" borderId="0" xfId="799" applyNumberFormat="1" applyFont="1" applyAlignment="1">
      <alignment horizontal="center"/>
    </xf>
    <xf numFmtId="10" fontId="7" fillId="0" borderId="0" xfId="799" applyNumberFormat="1" applyFont="1"/>
    <xf numFmtId="2" fontId="7" fillId="0" borderId="0" xfId="799" applyNumberFormat="1" applyFont="1" applyAlignment="1">
      <alignment horizontal="center"/>
    </xf>
    <xf numFmtId="0" fontId="7" fillId="0" borderId="0" xfId="0" applyFont="1" applyAlignment="1"/>
    <xf numFmtId="0" fontId="80" fillId="0" borderId="0" xfId="0" applyFont="1" applyAlignment="1">
      <alignment vertical="center"/>
    </xf>
    <xf numFmtId="0" fontId="8" fillId="0" borderId="0" xfId="0" applyFont="1" applyFill="1" applyAlignment="1" applyProtection="1">
      <protection locked="0"/>
    </xf>
    <xf numFmtId="0" fontId="4" fillId="0" borderId="0" xfId="0" applyFont="1" applyFill="1" applyProtection="1">
      <protection locked="0"/>
    </xf>
    <xf numFmtId="0" fontId="195" fillId="0" borderId="0" xfId="0" applyFont="1" applyFill="1" applyAlignment="1" applyProtection="1">
      <alignment horizontal="left"/>
      <protection locked="0"/>
    </xf>
    <xf numFmtId="0" fontId="195" fillId="0" borderId="0" xfId="0" applyFont="1" applyFill="1" applyProtection="1">
      <protection locked="0"/>
    </xf>
    <xf numFmtId="0" fontId="195" fillId="0" borderId="38" xfId="0" applyFont="1" applyFill="1" applyBorder="1" applyAlignment="1" applyProtection="1">
      <alignment horizontal="center" wrapText="1"/>
      <protection locked="0"/>
    </xf>
    <xf numFmtId="0" fontId="195" fillId="0" borderId="0" xfId="0" applyFont="1" applyFill="1" applyBorder="1" applyAlignment="1" applyProtection="1">
      <alignment horizontal="center" wrapText="1"/>
      <protection locked="0"/>
    </xf>
    <xf numFmtId="0" fontId="7" fillId="0" borderId="0" xfId="0" applyFont="1" applyFill="1" applyProtection="1">
      <protection locked="0"/>
    </xf>
    <xf numFmtId="0" fontId="195" fillId="0" borderId="0" xfId="0" applyFont="1" applyFill="1" applyAlignment="1" applyProtection="1">
      <alignment horizontal="right"/>
      <protection locked="0"/>
    </xf>
    <xf numFmtId="0" fontId="195" fillId="0" borderId="28" xfId="0" applyFont="1" applyFill="1" applyBorder="1" applyAlignment="1" applyProtection="1">
      <alignment horizontal="center" wrapText="1"/>
      <protection locked="0"/>
    </xf>
    <xf numFmtId="0" fontId="195" fillId="0" borderId="28" xfId="0" applyFont="1" applyFill="1" applyBorder="1" applyProtection="1">
      <protection locked="0"/>
    </xf>
    <xf numFmtId="170" fontId="195" fillId="0" borderId="0" xfId="0" applyNumberFormat="1" applyFont="1" applyFill="1" applyAlignment="1" applyProtection="1">
      <alignment horizontal="right"/>
      <protection locked="0"/>
    </xf>
    <xf numFmtId="170" fontId="195" fillId="0" borderId="0" xfId="0" applyNumberFormat="1" applyFont="1" applyFill="1" applyProtection="1">
      <protection locked="0"/>
    </xf>
    <xf numFmtId="0" fontId="4" fillId="0" borderId="0" xfId="0" applyNumberFormat="1" applyFont="1" applyAlignment="1">
      <alignment horizontal="center"/>
    </xf>
    <xf numFmtId="170" fontId="7" fillId="0" borderId="0" xfId="0" applyNumberFormat="1" applyFont="1" applyFill="1" applyProtection="1">
      <protection locked="0"/>
    </xf>
    <xf numFmtId="0" fontId="195" fillId="0" borderId="0" xfId="0" applyNumberFormat="1" applyFont="1" applyFill="1" applyAlignment="1" applyProtection="1">
      <alignment horizontal="right"/>
      <protection locked="0"/>
    </xf>
    <xf numFmtId="173" fontId="195" fillId="0" borderId="0" xfId="0" applyNumberFormat="1" applyFont="1" applyFill="1" applyProtection="1">
      <protection locked="0"/>
    </xf>
    <xf numFmtId="0" fontId="195" fillId="0" borderId="0" xfId="0" applyNumberFormat="1" applyFont="1" applyFill="1" applyAlignment="1" applyProtection="1">
      <alignment horizontal="center"/>
      <protection locked="0"/>
    </xf>
    <xf numFmtId="0" fontId="195" fillId="0" borderId="0" xfId="0" applyFont="1" applyFill="1" applyAlignment="1" applyProtection="1">
      <alignment horizontal="center"/>
      <protection locked="0"/>
    </xf>
    <xf numFmtId="173" fontId="195" fillId="0" borderId="6" xfId="0" applyNumberFormat="1" applyFont="1" applyFill="1" applyBorder="1" applyProtection="1">
      <protection locked="0"/>
    </xf>
    <xf numFmtId="0" fontId="195" fillId="0" borderId="6" xfId="0" applyFont="1" applyFill="1" applyBorder="1" applyAlignment="1" applyProtection="1">
      <alignment horizontal="center"/>
      <protection locked="0"/>
    </xf>
    <xf numFmtId="0" fontId="7" fillId="0" borderId="6" xfId="0" applyFont="1" applyFill="1" applyBorder="1" applyProtection="1">
      <protection locked="0"/>
    </xf>
    <xf numFmtId="173" fontId="195" fillId="0" borderId="0" xfId="0" applyNumberFormat="1" applyFont="1" applyFill="1" applyAlignment="1" applyProtection="1">
      <alignment horizontal="left"/>
      <protection locked="0"/>
    </xf>
    <xf numFmtId="0"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wrapText="1"/>
      <protection locked="0"/>
    </xf>
    <xf numFmtId="173"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protection locked="0"/>
    </xf>
    <xf numFmtId="173" fontId="81" fillId="0" borderId="0" xfId="0" applyNumberFormat="1" applyFont="1" applyFill="1" applyAlignment="1" applyProtection="1">
      <alignment horizontal="center"/>
      <protection locked="0"/>
    </xf>
    <xf numFmtId="0" fontId="81" fillId="0" borderId="0" xfId="0" applyNumberFormat="1" applyFont="1" applyFill="1" applyAlignment="1" applyProtection="1">
      <alignment horizontal="left"/>
      <protection locked="0"/>
    </xf>
    <xf numFmtId="175" fontId="195" fillId="0" borderId="0" xfId="912" applyNumberFormat="1" applyFont="1" applyFill="1" applyProtection="1">
      <protection locked="0"/>
    </xf>
    <xf numFmtId="0" fontId="196" fillId="0" borderId="0" xfId="0" applyFont="1" applyFill="1" applyAlignment="1" applyProtection="1">
      <alignment horizontal="left"/>
      <protection locked="0"/>
    </xf>
    <xf numFmtId="0" fontId="197" fillId="0" borderId="0" xfId="0" applyFont="1" applyFill="1" applyAlignment="1" applyProtection="1">
      <alignment horizontal="left"/>
      <protection locked="0"/>
    </xf>
    <xf numFmtId="14" fontId="195" fillId="0" borderId="0" xfId="0" applyNumberFormat="1" applyFont="1" applyFill="1" applyAlignment="1" applyProtection="1">
      <alignment horizontal="left"/>
      <protection locked="0"/>
    </xf>
    <xf numFmtId="173" fontId="195" fillId="0" borderId="0" xfId="202" applyNumberFormat="1" applyFont="1" applyFill="1" applyProtection="1">
      <protection locked="0"/>
    </xf>
    <xf numFmtId="173" fontId="195" fillId="0" borderId="0" xfId="275" applyNumberFormat="1" applyFont="1" applyFill="1" applyProtection="1">
      <protection locked="0"/>
    </xf>
    <xf numFmtId="173" fontId="195" fillId="0" borderId="0" xfId="202" applyNumberFormat="1" applyFont="1" applyFill="1" applyBorder="1" applyProtection="1">
      <protection locked="0"/>
    </xf>
    <xf numFmtId="173" fontId="81" fillId="0" borderId="0" xfId="202" applyNumberFormat="1" applyFont="1" applyFill="1" applyProtection="1">
      <protection locked="0"/>
    </xf>
    <xf numFmtId="14" fontId="195" fillId="0" borderId="6" xfId="0" applyNumberFormat="1" applyFont="1" applyFill="1" applyBorder="1" applyAlignment="1" applyProtection="1">
      <alignment horizontal="left"/>
      <protection locked="0"/>
    </xf>
    <xf numFmtId="0" fontId="195" fillId="0" borderId="6" xfId="0" applyFont="1" applyFill="1" applyBorder="1" applyProtection="1">
      <protection locked="0"/>
    </xf>
    <xf numFmtId="0" fontId="195" fillId="0" borderId="2" xfId="0" applyFont="1" applyFill="1" applyBorder="1" applyProtection="1">
      <protection locked="0"/>
    </xf>
    <xf numFmtId="0" fontId="195" fillId="0" borderId="0" xfId="0" applyFont="1" applyFill="1" applyBorder="1" applyProtection="1">
      <protection locked="0"/>
    </xf>
    <xf numFmtId="0" fontId="195" fillId="0" borderId="11" xfId="0" applyFont="1" applyFill="1" applyBorder="1" applyProtection="1">
      <protection locked="0"/>
    </xf>
    <xf numFmtId="0" fontId="195" fillId="0" borderId="0" xfId="0" applyFont="1" applyFill="1" applyAlignment="1" applyProtection="1">
      <alignment wrapText="1"/>
      <protection locked="0"/>
    </xf>
    <xf numFmtId="10" fontId="4" fillId="0" borderId="0" xfId="900" applyNumberFormat="1" applyFont="1"/>
    <xf numFmtId="0" fontId="7" fillId="0" borderId="0" xfId="862" applyFont="1" applyAlignment="1"/>
    <xf numFmtId="0" fontId="15" fillId="0" borderId="0" xfId="862" applyFont="1" applyAlignment="1"/>
    <xf numFmtId="174" fontId="15" fillId="0" borderId="0" xfId="862" applyNumberFormat="1" applyFont="1" applyBorder="1" applyAlignment="1"/>
    <xf numFmtId="1" fontId="15" fillId="0" borderId="0" xfId="862" applyNumberFormat="1" applyFont="1" applyAlignment="1">
      <alignment horizontal="left"/>
    </xf>
    <xf numFmtId="0" fontId="15" fillId="0" borderId="0" xfId="862" quotePrefix="1" applyFont="1" applyAlignment="1">
      <alignment horizontal="left"/>
    </xf>
    <xf numFmtId="1" fontId="15" fillId="0" borderId="0" xfId="862" applyNumberFormat="1" applyFont="1" applyAlignment="1">
      <alignment horizontal="center"/>
    </xf>
    <xf numFmtId="14" fontId="15" fillId="0" borderId="0" xfId="862" quotePrefix="1" applyNumberFormat="1" applyFont="1" applyAlignment="1">
      <alignment horizontal="left"/>
    </xf>
    <xf numFmtId="43" fontId="15" fillId="0" borderId="0" xfId="862" applyNumberFormat="1" applyFont="1" applyAlignment="1"/>
    <xf numFmtId="10" fontId="15" fillId="0" borderId="0" xfId="862" applyNumberFormat="1" applyFont="1" applyAlignment="1"/>
    <xf numFmtId="0" fontId="15" fillId="0" borderId="0" xfId="862" quotePrefix="1" applyFont="1" applyBorder="1" applyAlignment="1">
      <alignment horizontal="left"/>
    </xf>
    <xf numFmtId="43" fontId="15" fillId="0" borderId="0" xfId="862" applyNumberFormat="1" applyFont="1" applyBorder="1" applyAlignment="1"/>
    <xf numFmtId="0" fontId="199" fillId="0" borderId="0" xfId="862" applyFont="1" applyAlignment="1"/>
    <xf numFmtId="0" fontId="15" fillId="0" borderId="0" xfId="862" applyFont="1" applyAlignment="1">
      <alignment horizontal="left"/>
    </xf>
    <xf numFmtId="0" fontId="15" fillId="0" borderId="0" xfId="862" applyFont="1" applyBorder="1" applyAlignment="1"/>
    <xf numFmtId="10" fontId="15" fillId="0" borderId="0" xfId="862" applyNumberFormat="1" applyFont="1" applyBorder="1" applyAlignment="1"/>
    <xf numFmtId="164" fontId="15" fillId="0" borderId="0" xfId="862" applyNumberFormat="1" applyFont="1" applyAlignment="1"/>
    <xf numFmtId="0" fontId="195" fillId="0" borderId="0" xfId="0" applyFont="1" applyFill="1" applyBorder="1" applyAlignment="1" applyProtection="1">
      <alignment wrapText="1"/>
      <protection locked="0"/>
    </xf>
    <xf numFmtId="0" fontId="17" fillId="0" borderId="0" xfId="791" quotePrefix="1" applyFont="1" applyFill="1" applyBorder="1" applyAlignment="1">
      <alignment horizontal="center"/>
    </xf>
    <xf numFmtId="0" fontId="17" fillId="0" borderId="0" xfId="879" applyFont="1" applyFill="1" applyAlignment="1">
      <alignment horizontal="center"/>
    </xf>
    <xf numFmtId="14" fontId="4" fillId="0" borderId="0" xfId="791" applyNumberFormat="1" applyFont="1" applyFill="1" applyBorder="1" applyAlignment="1">
      <alignment horizontal="center" wrapText="1"/>
    </xf>
    <xf numFmtId="0" fontId="4" fillId="0" borderId="0" xfId="791" applyFont="1" applyFill="1" applyBorder="1" applyAlignment="1">
      <alignment horizontal="center" wrapText="1"/>
    </xf>
    <xf numFmtId="173" fontId="4" fillId="27" borderId="0" xfId="0" applyNumberFormat="1" applyFont="1" applyFill="1" applyBorder="1"/>
    <xf numFmtId="0" fontId="4" fillId="27" borderId="0" xfId="198" quotePrefix="1" applyNumberFormat="1" applyFont="1" applyFill="1" applyBorder="1" applyAlignment="1">
      <alignment horizontal="center"/>
    </xf>
    <xf numFmtId="3" fontId="4" fillId="0" borderId="0" xfId="0" applyNumberFormat="1" applyFont="1" applyFill="1"/>
    <xf numFmtId="173" fontId="4" fillId="0" borderId="2" xfId="791" applyNumberFormat="1" applyFont="1" applyFill="1" applyBorder="1"/>
    <xf numFmtId="1" fontId="84" fillId="27" borderId="0" xfId="198" applyNumberFormat="1" applyFont="1" applyFill="1" applyBorder="1" applyAlignment="1">
      <alignment horizontal="center"/>
    </xf>
    <xf numFmtId="1" fontId="4" fillId="27" borderId="38" xfId="198" applyNumberFormat="1" applyFont="1" applyFill="1" applyBorder="1" applyAlignment="1">
      <alignment horizontal="center" wrapText="1"/>
    </xf>
    <xf numFmtId="10" fontId="84" fillId="27" borderId="0" xfId="899" applyNumberFormat="1" applyFont="1" applyFill="1" applyBorder="1" applyAlignment="1">
      <alignment horizontal="right"/>
    </xf>
    <xf numFmtId="0" fontId="7" fillId="0" borderId="0" xfId="1528" applyFont="1" applyFill="1" applyProtection="1"/>
    <xf numFmtId="43" fontId="4" fillId="0" borderId="0" xfId="198" applyFont="1" applyFill="1" applyBorder="1"/>
    <xf numFmtId="10" fontId="4" fillId="0" borderId="71" xfId="1172" applyNumberFormat="1" applyFont="1" applyBorder="1" applyProtection="1"/>
    <xf numFmtId="200" fontId="4" fillId="0" borderId="71" xfId="1172" applyNumberFormat="1" applyFont="1" applyBorder="1" applyProtection="1"/>
    <xf numFmtId="175" fontId="4" fillId="0" borderId="71" xfId="1172" applyNumberFormat="1" applyFont="1" applyBorder="1" applyProtection="1"/>
    <xf numFmtId="175" fontId="4" fillId="0" borderId="71" xfId="1172" applyNumberFormat="1" applyFont="1" applyBorder="1" applyAlignment="1" applyProtection="1">
      <alignment horizontal="center"/>
    </xf>
    <xf numFmtId="10" fontId="4" fillId="0" borderId="0" xfId="1172" applyNumberFormat="1" applyFont="1" applyBorder="1" applyProtection="1"/>
    <xf numFmtId="200" fontId="4" fillId="0" borderId="0" xfId="1172" applyNumberFormat="1" applyFont="1" applyBorder="1" applyProtection="1"/>
    <xf numFmtId="175" fontId="4" fillId="0" borderId="0" xfId="1172" applyNumberFormat="1" applyFont="1" applyBorder="1" applyProtection="1"/>
    <xf numFmtId="175" fontId="4" fillId="0" borderId="0" xfId="1172" applyNumberFormat="1" applyFont="1" applyBorder="1" applyAlignment="1" applyProtection="1">
      <alignment horizontal="center"/>
    </xf>
    <xf numFmtId="198" fontId="4" fillId="0" borderId="0" xfId="1172" applyNumberFormat="1" applyFont="1" applyAlignment="1" applyProtection="1">
      <alignment horizontal="right" indent="1"/>
    </xf>
    <xf numFmtId="175" fontId="4" fillId="0" borderId="0" xfId="1172" applyNumberFormat="1" applyFont="1" applyProtection="1"/>
    <xf numFmtId="201" fontId="4" fillId="0" borderId="0" xfId="1172" applyNumberFormat="1" applyFont="1" applyProtection="1"/>
    <xf numFmtId="10" fontId="4" fillId="0" borderId="0" xfId="1172" applyNumberFormat="1" applyFont="1" applyAlignment="1" applyProtection="1">
      <alignment horizontal="right" indent="2"/>
    </xf>
    <xf numFmtId="10" fontId="4" fillId="0" borderId="70" xfId="1172" applyNumberFormat="1" applyFont="1" applyBorder="1" applyProtection="1"/>
    <xf numFmtId="200" fontId="4" fillId="0" borderId="70" xfId="1172" applyNumberFormat="1" applyFont="1" applyBorder="1" applyProtection="1"/>
    <xf numFmtId="175" fontId="4" fillId="0" borderId="70" xfId="1172" applyNumberFormat="1" applyFont="1" applyBorder="1" applyProtection="1"/>
    <xf numFmtId="175" fontId="4" fillId="0" borderId="70" xfId="1172" applyNumberFormat="1" applyFont="1" applyBorder="1" applyAlignment="1" applyProtection="1">
      <alignment horizontal="center"/>
    </xf>
    <xf numFmtId="0" fontId="4" fillId="0" borderId="0" xfId="0" applyFont="1" applyFill="1" applyBorder="1" applyAlignment="1">
      <alignment horizontal="center" vertical="center"/>
    </xf>
    <xf numFmtId="0" fontId="7" fillId="0" borderId="0" xfId="0" applyNumberFormat="1" applyFont="1" applyAlignment="1">
      <alignment horizontal="center"/>
    </xf>
    <xf numFmtId="3" fontId="7" fillId="0" borderId="0" xfId="0" quotePrefix="1" applyNumberFormat="1" applyFont="1" applyFill="1" applyAlignment="1">
      <alignment horizontal="center"/>
    </xf>
    <xf numFmtId="3" fontId="6" fillId="0" borderId="0" xfId="0" applyNumberFormat="1" applyFont="1" applyAlignment="1">
      <alignment horizontal="center"/>
    </xf>
    <xf numFmtId="3" fontId="6" fillId="0" borderId="0" xfId="0" quotePrefix="1" applyNumberFormat="1" applyFont="1" applyAlignment="1">
      <alignment horizontal="center"/>
    </xf>
    <xf numFmtId="0" fontId="209"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9" fillId="0" borderId="40" xfId="0" applyFont="1" applyBorder="1" applyAlignment="1">
      <alignment horizontal="centerContinuous"/>
    </xf>
    <xf numFmtId="0" fontId="17" fillId="0" borderId="40" xfId="0" applyFont="1" applyBorder="1" applyAlignment="1">
      <alignment horizontal="centerContinuous"/>
    </xf>
    <xf numFmtId="0" fontId="17" fillId="0" borderId="17" xfId="0" applyFont="1" applyBorder="1" applyAlignment="1">
      <alignment horizontal="centerContinuous"/>
    </xf>
    <xf numFmtId="0" fontId="136" fillId="0" borderId="17" xfId="0" applyFont="1" applyFill="1" applyBorder="1"/>
    <xf numFmtId="0" fontId="0" fillId="0" borderId="17" xfId="0" applyBorder="1"/>
    <xf numFmtId="0" fontId="0" fillId="0" borderId="21" xfId="0" applyBorder="1" applyAlignment="1">
      <alignment horizontal="center"/>
    </xf>
    <xf numFmtId="0" fontId="17" fillId="0" borderId="35" xfId="0" quotePrefix="1" applyFont="1" applyBorder="1" applyAlignment="1">
      <alignment horizontal="center" wrapText="1"/>
    </xf>
    <xf numFmtId="0" fontId="17" fillId="0" borderId="36" xfId="0" quotePrefix="1" applyFont="1" applyBorder="1" applyAlignment="1">
      <alignment horizontal="center" wrapText="1"/>
    </xf>
    <xf numFmtId="0" fontId="0" fillId="0" borderId="36" xfId="0" applyBorder="1"/>
    <xf numFmtId="0" fontId="17"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4"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4" fillId="0" borderId="0" xfId="0" applyFont="1" applyAlignment="1">
      <alignment vertical="center"/>
    </xf>
    <xf numFmtId="173" fontId="209" fillId="0" borderId="0" xfId="1537" applyNumberFormat="1" applyAlignment="1">
      <alignment vertical="center"/>
    </xf>
    <xf numFmtId="43" fontId="209" fillId="0" borderId="0" xfId="1537" applyAlignment="1">
      <alignment vertical="center"/>
    </xf>
    <xf numFmtId="0" fontId="0" fillId="0" borderId="0" xfId="0" quotePrefix="1" applyAlignment="1">
      <alignment horizontal="left" vertical="center"/>
    </xf>
    <xf numFmtId="13" fontId="29" fillId="0" borderId="0" xfId="0" applyNumberFormat="1" applyFont="1" applyFill="1" applyAlignment="1">
      <alignment horizontal="center" vertical="center"/>
    </xf>
    <xf numFmtId="43" fontId="209" fillId="0" borderId="0" xfId="1537" applyFill="1" applyAlignment="1">
      <alignment vertical="center"/>
    </xf>
    <xf numFmtId="173" fontId="84" fillId="0" borderId="0" xfId="0" applyNumberFormat="1" applyFont="1" applyFill="1" applyAlignment="1">
      <alignment vertical="center"/>
    </xf>
    <xf numFmtId="173" fontId="84" fillId="0" borderId="0" xfId="1537" applyNumberFormat="1" applyFont="1" applyFill="1" applyAlignment="1">
      <alignment vertical="center"/>
    </xf>
    <xf numFmtId="197" fontId="209" fillId="0" borderId="0" xfId="1537" applyNumberFormat="1" applyAlignment="1">
      <alignment vertical="center"/>
    </xf>
    <xf numFmtId="173" fontId="209" fillId="0" borderId="0" xfId="1537" applyNumberFormat="1"/>
    <xf numFmtId="173" fontId="209" fillId="0" borderId="0" xfId="1537" applyNumberFormat="1" applyFill="1"/>
    <xf numFmtId="43" fontId="209" fillId="0" borderId="0" xfId="1537"/>
    <xf numFmtId="3" fontId="7" fillId="0" borderId="0" xfId="0" applyNumberFormat="1" applyFont="1" applyFill="1" applyAlignment="1">
      <alignment horizontal="center"/>
    </xf>
    <xf numFmtId="0" fontId="4" fillId="0" borderId="67" xfId="1173" applyFont="1" applyBorder="1" applyAlignment="1">
      <alignment horizontal="left" wrapText="1"/>
    </xf>
    <xf numFmtId="173" fontId="84" fillId="66" borderId="0" xfId="198" applyNumberFormat="1" applyFont="1" applyFill="1" applyBorder="1"/>
    <xf numFmtId="41" fontId="4" fillId="66" borderId="10" xfId="1173" applyNumberFormat="1" applyFont="1" applyFill="1" applyBorder="1"/>
    <xf numFmtId="3" fontId="19" fillId="27" borderId="0" xfId="0" quotePrefix="1" applyNumberFormat="1" applyFont="1" applyFill="1" applyAlignment="1">
      <alignment vertical="top"/>
    </xf>
    <xf numFmtId="43" fontId="87" fillId="27" borderId="0" xfId="311" applyFont="1" applyFill="1" applyBorder="1" applyAlignment="1"/>
    <xf numFmtId="3" fontId="19" fillId="27" borderId="0" xfId="311" applyNumberFormat="1" applyFont="1" applyFill="1" applyBorder="1" applyAlignment="1"/>
    <xf numFmtId="41" fontId="19" fillId="27" borderId="0" xfId="311" applyNumberFormat="1" applyFont="1" applyFill="1" applyBorder="1"/>
    <xf numFmtId="0" fontId="7" fillId="0" borderId="0" xfId="878" applyFont="1" applyFill="1" applyAlignment="1">
      <alignment horizontal="center" vertical="top"/>
    </xf>
    <xf numFmtId="3" fontId="19" fillId="27" borderId="0" xfId="311" applyNumberFormat="1" applyFont="1" applyFill="1" applyBorder="1" applyAlignment="1">
      <alignment vertical="top"/>
    </xf>
    <xf numFmtId="173" fontId="19" fillId="27" borderId="0" xfId="311" applyNumberFormat="1" applyFont="1" applyFill="1" applyBorder="1" applyAlignment="1">
      <alignment vertical="top"/>
    </xf>
    <xf numFmtId="41" fontId="19" fillId="27" borderId="0" xfId="311" applyNumberFormat="1" applyFont="1" applyFill="1" applyBorder="1" applyAlignment="1">
      <alignment vertical="top"/>
    </xf>
    <xf numFmtId="0" fontId="15" fillId="0" borderId="0" xfId="878" applyFont="1" applyFill="1" applyAlignment="1">
      <alignment vertical="top"/>
    </xf>
    <xf numFmtId="0" fontId="0" fillId="0" borderId="0" xfId="0" applyAlignment="1">
      <alignment vertical="top"/>
    </xf>
    <xf numFmtId="3" fontId="19" fillId="27" borderId="0" xfId="311" applyNumberFormat="1" applyFont="1" applyFill="1" applyBorder="1" applyAlignment="1">
      <alignment horizontal="left"/>
    </xf>
    <xf numFmtId="3" fontId="19" fillId="27" borderId="0" xfId="311" applyNumberFormat="1" applyFont="1" applyFill="1" applyBorder="1"/>
    <xf numFmtId="0" fontId="60" fillId="62" borderId="0" xfId="882" applyFont="1" applyFill="1"/>
    <xf numFmtId="173" fontId="86" fillId="62" borderId="0" xfId="311" applyNumberFormat="1" applyFont="1" applyFill="1" applyBorder="1"/>
    <xf numFmtId="173" fontId="211" fillId="27" borderId="0" xfId="311" applyNumberFormat="1" applyFont="1" applyFill="1" applyBorder="1"/>
    <xf numFmtId="173" fontId="210" fillId="27" borderId="0" xfId="882" applyNumberFormat="1" applyFont="1" applyFill="1" applyBorder="1" applyAlignment="1">
      <alignment vertical="center"/>
    </xf>
    <xf numFmtId="43" fontId="4" fillId="0" borderId="0" xfId="1178" applyNumberFormat="1"/>
    <xf numFmtId="3" fontId="19" fillId="27" borderId="0" xfId="0" quotePrefix="1" applyNumberFormat="1" applyFont="1" applyFill="1" applyAlignment="1">
      <alignment horizontal="left"/>
    </xf>
    <xf numFmtId="173" fontId="19" fillId="27" borderId="0" xfId="311" applyNumberFormat="1" applyFont="1" applyFill="1" applyBorder="1" applyAlignment="1"/>
    <xf numFmtId="43" fontId="4" fillId="27" borderId="0" xfId="202" applyFont="1" applyFill="1" applyBorder="1" applyAlignment="1">
      <alignment horizontal="center" wrapText="1"/>
    </xf>
    <xf numFmtId="0" fontId="4" fillId="0" borderId="0" xfId="0" applyFont="1" applyAlignment="1">
      <alignment horizontal="left" vertical="center"/>
    </xf>
    <xf numFmtId="173" fontId="4" fillId="0" borderId="0" xfId="198" applyNumberFormat="1" applyAlignme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173" fontId="0" fillId="0" borderId="0" xfId="0" applyNumberFormat="1"/>
    <xf numFmtId="0" fontId="4" fillId="0" borderId="0" xfId="0" applyFont="1" applyFill="1" applyAlignment="1">
      <alignment horizontal="center" vertical="center"/>
    </xf>
    <xf numFmtId="0" fontId="0" fillId="0" borderId="0" xfId="0" applyFill="1" applyAlignment="1">
      <alignment vertical="center" wrapText="1"/>
    </xf>
    <xf numFmtId="0" fontId="0" fillId="0" borderId="0" xfId="0" quotePrefix="1" applyAlignment="1">
      <alignment horizontal="center" vertical="center"/>
    </xf>
    <xf numFmtId="0" fontId="0" fillId="0" borderId="0" xfId="0" applyAlignment="1">
      <alignment vertical="center" wrapText="1"/>
    </xf>
    <xf numFmtId="0" fontId="214" fillId="0" borderId="0" xfId="0" applyFont="1" applyFill="1" applyAlignment="1">
      <alignment vertical="center" wrapText="1"/>
    </xf>
    <xf numFmtId="2" fontId="12" fillId="0" borderId="0" xfId="0" applyNumberFormat="1" applyFont="1" applyFill="1"/>
    <xf numFmtId="2" fontId="4" fillId="0" borderId="0" xfId="0" applyNumberFormat="1" applyFont="1" applyFill="1"/>
    <xf numFmtId="173" fontId="12" fillId="0" borderId="0" xfId="198" applyNumberFormat="1" applyFont="1"/>
    <xf numFmtId="10" fontId="7" fillId="0" borderId="0" xfId="899" applyNumberFormat="1" applyFont="1" applyFill="1" applyAlignment="1"/>
    <xf numFmtId="0" fontId="4" fillId="0" borderId="0" xfId="1178" applyFont="1" applyFill="1" applyAlignment="1" applyProtection="1">
      <alignment wrapText="1"/>
    </xf>
    <xf numFmtId="41" fontId="9" fillId="0" borderId="0" xfId="1177" applyNumberFormat="1" applyFont="1" applyFill="1" applyBorder="1" applyAlignment="1" applyProtection="1">
      <alignment horizontal="center" wrapText="1"/>
    </xf>
    <xf numFmtId="0" fontId="4" fillId="0" borderId="0" xfId="0" applyFont="1" applyProtection="1">
      <protection locked="0"/>
    </xf>
    <xf numFmtId="173" fontId="7" fillId="0" borderId="0" xfId="202" applyNumberFormat="1" applyFont="1" applyFill="1" applyProtection="1">
      <protection locked="0"/>
    </xf>
    <xf numFmtId="0" fontId="7" fillId="0" borderId="2" xfId="0" applyFont="1" applyFill="1" applyBorder="1" applyProtection="1">
      <protection locked="0"/>
    </xf>
    <xf numFmtId="0" fontId="4" fillId="0" borderId="2" xfId="0" applyFont="1" applyBorder="1" applyProtection="1">
      <protection locked="0"/>
    </xf>
    <xf numFmtId="173" fontId="7" fillId="0" borderId="2" xfId="202" applyNumberFormat="1" applyFont="1" applyFill="1" applyBorder="1" applyProtection="1">
      <protection locked="0"/>
    </xf>
    <xf numFmtId="0" fontId="7" fillId="0" borderId="0" xfId="0" applyFont="1" applyFill="1" applyBorder="1" applyProtection="1">
      <protection locked="0"/>
    </xf>
    <xf numFmtId="0" fontId="4" fillId="0" borderId="0" xfId="0" applyFont="1" applyBorder="1" applyProtection="1">
      <protection locked="0"/>
    </xf>
    <xf numFmtId="173" fontId="7" fillId="0" borderId="0" xfId="202" applyNumberFormat="1" applyFont="1" applyFill="1" applyBorder="1" applyProtection="1">
      <protection locked="0"/>
    </xf>
    <xf numFmtId="0" fontId="7" fillId="0" borderId="11" xfId="0" applyFont="1" applyFill="1" applyBorder="1" applyProtection="1">
      <protection locked="0"/>
    </xf>
    <xf numFmtId="0" fontId="4" fillId="0" borderId="11" xfId="0" applyFont="1" applyBorder="1" applyProtection="1">
      <protection locked="0"/>
    </xf>
    <xf numFmtId="173" fontId="7" fillId="0" borderId="11" xfId="202" applyNumberFormat="1" applyFont="1" applyFill="1" applyBorder="1" applyProtection="1">
      <protection locked="0"/>
    </xf>
    <xf numFmtId="173" fontId="195" fillId="0" borderId="0" xfId="202" applyNumberFormat="1" applyFont="1" applyFill="1" applyProtection="1"/>
    <xf numFmtId="173" fontId="195" fillId="0" borderId="0" xfId="275" applyNumberFormat="1" applyFont="1" applyFill="1" applyProtection="1"/>
    <xf numFmtId="164" fontId="195" fillId="0" borderId="0" xfId="0" applyNumberFormat="1" applyFont="1" applyFill="1" applyAlignment="1" applyProtection="1">
      <alignment horizontal="center"/>
    </xf>
    <xf numFmtId="0" fontId="195" fillId="0" borderId="0" xfId="0" applyNumberFormat="1" applyFont="1" applyFill="1" applyProtection="1"/>
    <xf numFmtId="173" fontId="195" fillId="0" borderId="6" xfId="202" applyNumberFormat="1" applyFont="1" applyFill="1" applyBorder="1" applyProtection="1"/>
    <xf numFmtId="173" fontId="195" fillId="0" borderId="6" xfId="275" applyNumberFormat="1" applyFont="1" applyFill="1" applyBorder="1" applyProtection="1"/>
    <xf numFmtId="164" fontId="195" fillId="0" borderId="6" xfId="0" applyNumberFormat="1" applyFont="1" applyFill="1" applyBorder="1" applyAlignment="1" applyProtection="1">
      <alignment horizontal="center"/>
    </xf>
    <xf numFmtId="0" fontId="195" fillId="0" borderId="6" xfId="0" applyNumberFormat="1" applyFont="1" applyFill="1" applyBorder="1" applyProtection="1"/>
    <xf numFmtId="173" fontId="195" fillId="0" borderId="2" xfId="202" applyNumberFormat="1" applyFont="1" applyFill="1" applyBorder="1" applyProtection="1"/>
    <xf numFmtId="173" fontId="195" fillId="0" borderId="0" xfId="202" applyNumberFormat="1" applyFont="1" applyFill="1" applyBorder="1" applyProtection="1"/>
    <xf numFmtId="173" fontId="195" fillId="0" borderId="11" xfId="202" applyNumberFormat="1" applyFont="1" applyFill="1" applyBorder="1" applyProtection="1"/>
    <xf numFmtId="170" fontId="4" fillId="27" borderId="39" xfId="198" applyNumberFormat="1" applyFont="1" applyFill="1" applyBorder="1" applyAlignment="1" applyProtection="1">
      <alignment horizontal="center" wrapText="1"/>
    </xf>
    <xf numFmtId="170" fontId="81" fillId="0" borderId="0" xfId="0" applyNumberFormat="1" applyFont="1" applyFill="1" applyAlignment="1" applyProtection="1">
      <alignment horizontal="center"/>
    </xf>
    <xf numFmtId="0" fontId="81" fillId="0" borderId="0" xfId="0" quotePrefix="1" applyNumberFormat="1" applyFont="1" applyFill="1" applyAlignment="1" applyProtection="1">
      <alignment horizontal="center"/>
    </xf>
    <xf numFmtId="5" fontId="195" fillId="0" borderId="39" xfId="0" applyNumberFormat="1" applyFont="1" applyFill="1" applyBorder="1" applyAlignment="1" applyProtection="1">
      <alignment horizontal="center"/>
    </xf>
    <xf numFmtId="173" fontId="7" fillId="0" borderId="0" xfId="275" applyNumberFormat="1" applyFont="1" applyFill="1" applyAlignment="1" applyProtection="1"/>
    <xf numFmtId="0" fontId="7" fillId="0" borderId="0" xfId="881" applyNumberFormat="1" applyFont="1" applyFill="1" applyProtection="1"/>
    <xf numFmtId="170" fontId="7" fillId="0" borderId="0" xfId="881" applyNumberFormat="1" applyFont="1" applyFill="1" applyAlignment="1" applyProtection="1"/>
    <xf numFmtId="170" fontId="7" fillId="0" borderId="0" xfId="881" applyNumberFormat="1" applyFont="1" applyFill="1" applyProtection="1"/>
    <xf numFmtId="172" fontId="7" fillId="0" borderId="0" xfId="881" applyFont="1" applyFill="1" applyBorder="1" applyAlignment="1" applyProtection="1"/>
    <xf numFmtId="0" fontId="7" fillId="0" borderId="0" xfId="881" applyNumberFormat="1" applyFont="1" applyFill="1" applyBorder="1" applyProtection="1"/>
    <xf numFmtId="170" fontId="7" fillId="0" borderId="0" xfId="881" applyNumberFormat="1" applyFont="1" applyFill="1" applyBorder="1" applyAlignment="1" applyProtection="1"/>
    <xf numFmtId="170" fontId="7" fillId="0" borderId="2" xfId="881" applyNumberFormat="1" applyFont="1" applyFill="1" applyBorder="1" applyAlignment="1" applyProtection="1"/>
    <xf numFmtId="172" fontId="7" fillId="0" borderId="0" xfId="881" applyFont="1" applyFill="1" applyAlignment="1" applyProtection="1"/>
    <xf numFmtId="164" fontId="29" fillId="0" borderId="0" xfId="912" applyNumberFormat="1" applyFont="1" applyFill="1" applyAlignment="1" applyProtection="1">
      <alignment horizontal="center"/>
    </xf>
    <xf numFmtId="173" fontId="7" fillId="0" borderId="11" xfId="275" applyNumberFormat="1" applyFont="1" applyFill="1" applyBorder="1" applyAlignment="1" applyProtection="1"/>
    <xf numFmtId="173" fontId="7" fillId="0" borderId="0" xfId="275" applyNumberFormat="1" applyFont="1" applyFill="1" applyBorder="1" applyAlignment="1" applyProtection="1"/>
    <xf numFmtId="173" fontId="8" fillId="0" borderId="36" xfId="275" applyNumberFormat="1" applyFont="1" applyFill="1" applyBorder="1" applyAlignment="1" applyProtection="1"/>
    <xf numFmtId="172" fontId="8" fillId="0" borderId="36" xfId="881" applyFont="1" applyFill="1" applyBorder="1" applyAlignment="1" applyProtection="1"/>
    <xf numFmtId="173" fontId="8" fillId="0" borderId="37" xfId="275" applyNumberFormat="1" applyFont="1" applyFill="1" applyBorder="1" applyAlignment="1" applyProtection="1"/>
    <xf numFmtId="173" fontId="8" fillId="0" borderId="0" xfId="275" applyNumberFormat="1" applyFont="1" applyFill="1" applyBorder="1" applyAlignment="1" applyProtection="1"/>
    <xf numFmtId="172" fontId="8" fillId="0" borderId="0" xfId="881" applyFont="1" applyFill="1" applyBorder="1" applyAlignment="1" applyProtection="1"/>
    <xf numFmtId="43" fontId="8" fillId="0" borderId="0" xfId="275" applyNumberFormat="1" applyFont="1" applyFill="1" applyBorder="1" applyAlignment="1" applyProtection="1"/>
    <xf numFmtId="170" fontId="19" fillId="27" borderId="0" xfId="881" applyNumberFormat="1" applyFont="1" applyFill="1" applyBorder="1" applyAlignment="1" applyProtection="1"/>
    <xf numFmtId="172" fontId="7" fillId="0" borderId="0" xfId="881" applyFont="1" applyBorder="1" applyAlignment="1" applyProtection="1"/>
    <xf numFmtId="170" fontId="7" fillId="0" borderId="11" xfId="881" applyNumberFormat="1" applyFont="1" applyFill="1" applyBorder="1" applyAlignment="1" applyProtection="1"/>
    <xf numFmtId="170" fontId="19" fillId="27" borderId="11" xfId="881" applyNumberFormat="1" applyFont="1" applyFill="1" applyBorder="1" applyAlignment="1" applyProtection="1"/>
    <xf numFmtId="170" fontId="7" fillId="0" borderId="36" xfId="881" applyNumberFormat="1" applyFont="1" applyFill="1" applyBorder="1" applyAlignment="1" applyProtection="1"/>
    <xf numFmtId="0" fontId="7" fillId="0" borderId="36" xfId="881" applyNumberFormat="1" applyFont="1" applyFill="1" applyBorder="1" applyProtection="1"/>
    <xf numFmtId="0" fontId="12" fillId="0" borderId="36" xfId="775" applyFont="1" applyFill="1" applyBorder="1" applyProtection="1"/>
    <xf numFmtId="170" fontId="7" fillId="0" borderId="37" xfId="881" applyNumberFormat="1" applyFont="1" applyFill="1" applyBorder="1" applyAlignment="1" applyProtection="1"/>
    <xf numFmtId="43" fontId="7" fillId="0" borderId="0" xfId="275" applyFont="1" applyFill="1" applyAlignment="1" applyProtection="1"/>
    <xf numFmtId="0" fontId="7" fillId="0" borderId="0" xfId="775" applyFont="1" applyFill="1" applyProtection="1"/>
    <xf numFmtId="172" fontId="77" fillId="0" borderId="0" xfId="881" applyFont="1" applyFill="1" applyAlignment="1" applyProtection="1"/>
    <xf numFmtId="0" fontId="9" fillId="0" borderId="0" xfId="0" applyFont="1" applyBorder="1" applyProtection="1">
      <protection locked="0"/>
    </xf>
    <xf numFmtId="0" fontId="0" fillId="0" borderId="0" xfId="0" applyBorder="1" applyProtection="1">
      <protection locked="0"/>
    </xf>
    <xf numFmtId="0" fontId="9"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4" fillId="0" borderId="0" xfId="198" applyNumberFormat="1" applyProtection="1">
      <protection locked="0"/>
    </xf>
    <xf numFmtId="174" fontId="0" fillId="0" borderId="0" xfId="1536" applyNumberFormat="1" applyFont="1" applyProtection="1">
      <protection locked="0"/>
    </xf>
    <xf numFmtId="174" fontId="214" fillId="68" borderId="0" xfId="1536" applyNumberFormat="1" applyFont="1" applyFill="1" applyProtection="1">
      <protection locked="0"/>
    </xf>
    <xf numFmtId="0" fontId="0" fillId="0" borderId="0" xfId="0" quotePrefix="1" applyAlignment="1" applyProtection="1">
      <alignment horizontal="left"/>
      <protection locked="0"/>
    </xf>
    <xf numFmtId="173" fontId="214" fillId="0" borderId="0" xfId="198" applyNumberFormat="1" applyFont="1" applyFill="1" applyAlignment="1" applyProtection="1">
      <alignment vertical="center"/>
    </xf>
    <xf numFmtId="173" fontId="4" fillId="0" borderId="0" xfId="198" applyNumberFormat="1" applyFill="1" applyAlignment="1" applyProtection="1">
      <alignment vertical="center"/>
    </xf>
    <xf numFmtId="0" fontId="0" fillId="0" borderId="0" xfId="0" applyFill="1" applyAlignment="1" applyProtection="1">
      <alignment vertical="center"/>
    </xf>
    <xf numFmtId="173" fontId="84" fillId="27" borderId="0" xfId="198" applyNumberFormat="1" applyFont="1" applyFill="1" applyAlignment="1" applyProtection="1">
      <alignment vertical="center"/>
    </xf>
    <xf numFmtId="173" fontId="209" fillId="0" borderId="0" xfId="1537" applyNumberFormat="1" applyFont="1" applyFill="1" applyBorder="1" applyAlignment="1" applyProtection="1">
      <alignment vertical="center"/>
    </xf>
    <xf numFmtId="173" fontId="209" fillId="0" borderId="0" xfId="1537" applyNumberFormat="1" applyFill="1" applyBorder="1" applyAlignment="1" applyProtection="1">
      <alignment vertical="center"/>
    </xf>
    <xf numFmtId="173" fontId="4" fillId="0" borderId="0" xfId="198" applyNumberFormat="1" applyAlignment="1" applyProtection="1">
      <alignment vertical="center"/>
    </xf>
    <xf numFmtId="173" fontId="9"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9" fillId="0" borderId="0" xfId="198" applyNumberFormat="1" applyFont="1" applyAlignment="1" applyProtection="1">
      <alignment vertical="center"/>
    </xf>
    <xf numFmtId="0" fontId="0" fillId="0" borderId="0" xfId="0" applyAlignment="1" applyProtection="1"/>
    <xf numFmtId="173" fontId="214" fillId="0" borderId="0" xfId="198" applyNumberFormat="1" applyFont="1" applyAlignment="1" applyProtection="1">
      <alignment horizontal="center" vertical="center"/>
    </xf>
    <xf numFmtId="173" fontId="4"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214" fillId="0" borderId="0" xfId="198" applyNumberFormat="1" applyFont="1" applyFill="1" applyBorder="1" applyAlignment="1" applyProtection="1">
      <alignment vertical="center"/>
    </xf>
    <xf numFmtId="173" fontId="84" fillId="27" borderId="0" xfId="198" applyNumberFormat="1" applyFont="1" applyFill="1" applyBorder="1" applyAlignment="1" applyProtection="1">
      <alignment vertical="center"/>
    </xf>
    <xf numFmtId="173" fontId="4" fillId="0" borderId="0" xfId="198" applyNumberFormat="1" applyBorder="1" applyAlignment="1" applyProtection="1">
      <alignment vertical="center"/>
    </xf>
    <xf numFmtId="173" fontId="9" fillId="0" borderId="0" xfId="198" applyNumberFormat="1" applyFont="1" applyBorder="1" applyAlignment="1" applyProtection="1">
      <alignment vertical="center"/>
    </xf>
    <xf numFmtId="173" fontId="209" fillId="0" borderId="0" xfId="1537" applyNumberFormat="1" applyBorder="1" applyAlignment="1" applyProtection="1">
      <alignment vertical="center"/>
    </xf>
    <xf numFmtId="173" fontId="209" fillId="0" borderId="0" xfId="1537" applyNumberFormat="1" applyFont="1" applyBorder="1" applyAlignment="1" applyProtection="1">
      <alignment vertical="center"/>
    </xf>
    <xf numFmtId="173" fontId="9" fillId="0" borderId="20" xfId="1537" applyNumberFormat="1" applyFont="1" applyBorder="1" applyAlignment="1" applyProtection="1">
      <alignment vertical="center"/>
    </xf>
    <xf numFmtId="173" fontId="84" fillId="0" borderId="0" xfId="1537" applyNumberFormat="1" applyFont="1" applyFill="1" applyBorder="1" applyAlignment="1" applyProtection="1">
      <alignment vertical="center"/>
    </xf>
    <xf numFmtId="173" fontId="209" fillId="0" borderId="11" xfId="1537" applyNumberFormat="1" applyBorder="1" applyAlignment="1" applyProtection="1">
      <alignment vertical="center"/>
    </xf>
    <xf numFmtId="173" fontId="209" fillId="0" borderId="11" xfId="1537" applyNumberFormat="1" applyFill="1" applyBorder="1" applyAlignment="1" applyProtection="1">
      <alignment vertical="center"/>
    </xf>
    <xf numFmtId="173" fontId="9" fillId="0" borderId="25" xfId="1537" applyNumberFormat="1" applyFont="1" applyBorder="1" applyAlignment="1" applyProtection="1">
      <alignment vertical="center"/>
    </xf>
    <xf numFmtId="0" fontId="0" fillId="0" borderId="44" xfId="0" applyBorder="1" applyProtection="1"/>
    <xf numFmtId="173" fontId="209" fillId="0" borderId="6" xfId="1537" applyNumberFormat="1" applyBorder="1" applyAlignment="1" applyProtection="1">
      <alignment vertical="center"/>
    </xf>
    <xf numFmtId="173" fontId="209" fillId="0" borderId="6" xfId="1537" applyNumberFormat="1" applyFill="1" applyBorder="1" applyAlignment="1" applyProtection="1">
      <alignment vertical="center"/>
    </xf>
    <xf numFmtId="173" fontId="84" fillId="61" borderId="6" xfId="1537" applyNumberFormat="1" applyFont="1" applyFill="1" applyBorder="1" applyAlignment="1" applyProtection="1">
      <alignment vertical="center"/>
    </xf>
    <xf numFmtId="174" fontId="9" fillId="0" borderId="27" xfId="1536" applyNumberFormat="1" applyFont="1" applyBorder="1" applyAlignment="1" applyProtection="1">
      <alignment vertical="center"/>
    </xf>
    <xf numFmtId="173" fontId="9" fillId="0" borderId="28" xfId="0" applyNumberFormat="1" applyFont="1" applyBorder="1" applyProtection="1"/>
    <xf numFmtId="0" fontId="84" fillId="0" borderId="0" xfId="0" quotePrefix="1" applyFont="1" applyAlignment="1" applyProtection="1">
      <alignment horizontal="left"/>
    </xf>
    <xf numFmtId="173" fontId="83" fillId="0" borderId="0" xfId="1537" applyNumberFormat="1" applyFont="1" applyAlignment="1" applyProtection="1">
      <alignment horizontal="center" vertical="center"/>
    </xf>
    <xf numFmtId="173" fontId="209" fillId="0" borderId="0" xfId="1537" applyNumberFormat="1" applyAlignment="1" applyProtection="1">
      <alignment vertical="center"/>
    </xf>
    <xf numFmtId="0" fontId="0" fillId="0" borderId="0" xfId="0" applyAlignment="1" applyProtection="1">
      <alignment vertical="center"/>
    </xf>
    <xf numFmtId="173" fontId="83" fillId="0" borderId="0" xfId="1537" applyNumberFormat="1" applyFont="1" applyFill="1" applyAlignment="1" applyProtection="1">
      <alignment horizontal="center" vertical="center"/>
    </xf>
    <xf numFmtId="43" fontId="137" fillId="0" borderId="0" xfId="1537" applyFont="1" applyFill="1" applyAlignment="1" applyProtection="1">
      <alignment vertical="center"/>
    </xf>
    <xf numFmtId="43" fontId="209" fillId="0" borderId="0" xfId="1537" applyAlignment="1" applyProtection="1">
      <alignment vertical="center"/>
    </xf>
    <xf numFmtId="43" fontId="137" fillId="0" borderId="0" xfId="1537" applyFont="1" applyAlignment="1" applyProtection="1">
      <alignment vertical="center"/>
    </xf>
    <xf numFmtId="173" fontId="0" fillId="0" borderId="39" xfId="0" applyNumberFormat="1" applyBorder="1" applyProtection="1"/>
    <xf numFmtId="13" fontId="29" fillId="0" borderId="0" xfId="0" applyNumberFormat="1" applyFont="1" applyFill="1" applyAlignment="1" applyProtection="1">
      <alignment horizontal="center" vertical="center"/>
    </xf>
    <xf numFmtId="43" fontId="209" fillId="0" borderId="0" xfId="1537" applyFill="1" applyAlignment="1" applyProtection="1">
      <alignment vertical="center"/>
    </xf>
    <xf numFmtId="173" fontId="84" fillId="0" borderId="0" xfId="0" applyNumberFormat="1" applyFont="1" applyFill="1" applyAlignment="1" applyProtection="1">
      <alignment vertical="center"/>
    </xf>
    <xf numFmtId="173" fontId="84" fillId="0" borderId="0" xfId="1537" applyNumberFormat="1" applyFont="1" applyFill="1" applyAlignment="1" applyProtection="1">
      <alignment vertical="center"/>
    </xf>
    <xf numFmtId="197" fontId="209" fillId="0" borderId="0" xfId="1537" applyNumberFormat="1" applyAlignment="1" applyProtection="1">
      <alignment vertical="center"/>
    </xf>
    <xf numFmtId="173" fontId="209" fillId="0" borderId="0" xfId="1537" applyNumberFormat="1" applyProtection="1"/>
    <xf numFmtId="0" fontId="0" fillId="0" borderId="0" xfId="0" applyFill="1" applyProtection="1"/>
    <xf numFmtId="173" fontId="209" fillId="0" borderId="0" xfId="1537" applyNumberFormat="1" applyFill="1" applyProtection="1"/>
    <xf numFmtId="43" fontId="209" fillId="0" borderId="0" xfId="1537" applyProtection="1"/>
    <xf numFmtId="173" fontId="4" fillId="0" borderId="0" xfId="198" applyNumberFormat="1" applyFont="1" applyAlignment="1" applyProtection="1">
      <alignment horizontal="center" vertical="center"/>
    </xf>
    <xf numFmtId="173" fontId="84" fillId="27" borderId="0" xfId="0" applyNumberFormat="1" applyFont="1" applyFill="1" applyAlignment="1" applyProtection="1">
      <alignment vertical="center"/>
    </xf>
    <xf numFmtId="43" fontId="4" fillId="0" borderId="0" xfId="198" applyAlignment="1" applyProtection="1">
      <alignment vertical="center"/>
    </xf>
    <xf numFmtId="173" fontId="4" fillId="0" borderId="0" xfId="198" applyNumberFormat="1" applyProtection="1"/>
    <xf numFmtId="39" fontId="0" fillId="0" borderId="0" xfId="0" applyNumberFormat="1" applyProtection="1"/>
    <xf numFmtId="37" fontId="214" fillId="67" borderId="0" xfId="0" applyNumberFormat="1" applyFont="1" applyFill="1" applyProtection="1"/>
    <xf numFmtId="0" fontId="4" fillId="0" borderId="0" xfId="0" quotePrefix="1" applyFont="1" applyAlignment="1" applyProtection="1">
      <alignment horizontal="left"/>
    </xf>
    <xf numFmtId="174" fontId="0" fillId="0" borderId="0" xfId="1536" applyNumberFormat="1" applyFont="1" applyProtection="1"/>
    <xf numFmtId="174" fontId="214" fillId="68" borderId="0" xfId="1536" applyNumberFormat="1" applyFont="1" applyFill="1" applyProtection="1"/>
    <xf numFmtId="0" fontId="0" fillId="0" borderId="0" xfId="0" quotePrefix="1" applyAlignment="1" applyProtection="1">
      <alignment horizontal="left"/>
    </xf>
    <xf numFmtId="0" fontId="9" fillId="0" borderId="0" xfId="0" applyFont="1" applyBorder="1" applyProtection="1"/>
    <xf numFmtId="0" fontId="0" fillId="0" borderId="0" xfId="0" applyBorder="1" applyProtection="1"/>
    <xf numFmtId="0" fontId="9" fillId="0" borderId="20" xfId="0" applyFont="1" applyBorder="1" applyProtection="1"/>
    <xf numFmtId="0" fontId="0" fillId="0" borderId="28" xfId="0" applyBorder="1" applyProtection="1"/>
    <xf numFmtId="173" fontId="214" fillId="0" borderId="0" xfId="198" applyNumberFormat="1" applyFont="1" applyAlignment="1" applyProtection="1">
      <alignment vertical="center"/>
    </xf>
    <xf numFmtId="173" fontId="20" fillId="27" borderId="0" xfId="312" applyNumberFormat="1" applyFont="1" applyFill="1" applyAlignment="1" applyProtection="1">
      <alignment horizontal="left"/>
    </xf>
    <xf numFmtId="176" fontId="20" fillId="0" borderId="0" xfId="311" applyNumberFormat="1" applyFont="1" applyFill="1" applyProtection="1"/>
    <xf numFmtId="187" fontId="12" fillId="0" borderId="0" xfId="929" applyNumberFormat="1" applyFont="1" applyFill="1" applyAlignment="1" applyProtection="1">
      <alignment horizontal="center"/>
    </xf>
    <xf numFmtId="1" fontId="20" fillId="0" borderId="0" xfId="775" applyNumberFormat="1" applyFont="1" applyFill="1" applyProtection="1"/>
    <xf numFmtId="176" fontId="20" fillId="0" borderId="11" xfId="311" applyNumberFormat="1" applyFont="1" applyFill="1" applyBorder="1" applyProtection="1"/>
    <xf numFmtId="176" fontId="20" fillId="0" borderId="0" xfId="311" applyNumberFormat="1" applyFont="1" applyFill="1" applyBorder="1" applyProtection="1"/>
    <xf numFmtId="1" fontId="21" fillId="0" borderId="2" xfId="775" applyNumberFormat="1" applyFont="1" applyFill="1" applyBorder="1" applyAlignment="1" applyProtection="1">
      <alignment horizontal="right"/>
    </xf>
    <xf numFmtId="193" fontId="20" fillId="0" borderId="0" xfId="775" applyNumberFormat="1" applyFont="1" applyFill="1" applyProtection="1"/>
    <xf numFmtId="1" fontId="12" fillId="0" borderId="0" xfId="775" applyNumberFormat="1" applyFill="1" applyProtection="1"/>
    <xf numFmtId="1" fontId="21" fillId="0" borderId="0" xfId="775" applyNumberFormat="1" applyFont="1" applyFill="1" applyProtection="1"/>
    <xf numFmtId="1" fontId="20" fillId="0" borderId="0" xfId="275" applyNumberFormat="1" applyFont="1" applyFill="1" applyProtection="1"/>
    <xf numFmtId="1" fontId="20" fillId="0" borderId="0" xfId="775" applyNumberFormat="1" applyFont="1" applyFill="1" applyBorder="1" applyProtection="1"/>
    <xf numFmtId="1" fontId="12" fillId="0" borderId="0" xfId="775" applyNumberFormat="1" applyFill="1" applyBorder="1" applyAlignment="1" applyProtection="1">
      <alignment horizontal="center"/>
    </xf>
    <xf numFmtId="1" fontId="12" fillId="0" borderId="0" xfId="775" applyNumberFormat="1" applyFill="1" applyBorder="1" applyProtection="1"/>
    <xf numFmtId="1" fontId="12" fillId="0" borderId="0" xfId="775" applyNumberFormat="1" applyFill="1" applyAlignment="1" applyProtection="1">
      <alignment horizontal="center"/>
    </xf>
    <xf numFmtId="1" fontId="21" fillId="0" borderId="15" xfId="275" applyNumberFormat="1" applyFont="1" applyFill="1" applyBorder="1" applyProtection="1"/>
    <xf numFmtId="1" fontId="12" fillId="0" borderId="0" xfId="775" applyNumberFormat="1" applyFill="1" applyAlignment="1" applyProtection="1">
      <alignment horizontal="right"/>
    </xf>
    <xf numFmtId="1" fontId="12" fillId="0" borderId="0" xfId="775" applyNumberFormat="1" applyFont="1" applyFill="1" applyProtection="1"/>
    <xf numFmtId="1" fontId="9" fillId="0" borderId="0" xfId="775" applyNumberFormat="1" applyFont="1" applyFill="1" applyProtection="1"/>
    <xf numFmtId="1" fontId="20" fillId="0" borderId="15" xfId="775" applyNumberFormat="1" applyFont="1" applyFill="1" applyBorder="1" applyProtection="1"/>
    <xf numFmtId="1" fontId="21" fillId="0" borderId="0" xfId="775" applyNumberFormat="1" applyFont="1" applyFill="1" applyBorder="1" applyProtection="1"/>
    <xf numFmtId="172" fontId="5" fillId="0" borderId="0" xfId="881" applyFont="1" applyFill="1" applyAlignment="1" applyProtection="1"/>
    <xf numFmtId="0" fontId="4" fillId="0" borderId="0" xfId="0" applyFont="1" applyFill="1" applyBorder="1" applyProtection="1"/>
    <xf numFmtId="0" fontId="8" fillId="0" borderId="0" xfId="881" applyNumberFormat="1" applyFont="1" applyFill="1" applyBorder="1" applyAlignment="1" applyProtection="1">
      <alignment horizontal="left"/>
    </xf>
    <xf numFmtId="14" fontId="8" fillId="0" borderId="0" xfId="881" applyNumberFormat="1" applyFont="1" applyFill="1" applyBorder="1" applyAlignment="1" applyProtection="1"/>
    <xf numFmtId="172" fontId="8" fillId="0" borderId="0" xfId="881" applyFont="1" applyFill="1" applyAlignment="1" applyProtection="1"/>
    <xf numFmtId="0" fontId="7" fillId="0" borderId="0" xfId="881" applyNumberFormat="1" applyFont="1" applyFill="1" applyAlignment="1" applyProtection="1"/>
    <xf numFmtId="0" fontId="7" fillId="0" borderId="0" xfId="0" applyNumberFormat="1" applyFont="1" applyFill="1" applyAlignment="1" applyProtection="1">
      <alignment horizontal="center"/>
    </xf>
    <xf numFmtId="0" fontId="7" fillId="0" borderId="0" xfId="0" applyFont="1" applyFill="1" applyAlignment="1" applyProtection="1"/>
    <xf numFmtId="3" fontId="7" fillId="0" borderId="0" xfId="881" applyNumberFormat="1" applyFont="1" applyFill="1" applyAlignment="1" applyProtection="1"/>
    <xf numFmtId="3" fontId="7" fillId="0" borderId="0" xfId="0" applyNumberFormat="1" applyFont="1" applyFill="1" applyAlignment="1" applyProtection="1">
      <alignment horizontal="center"/>
    </xf>
    <xf numFmtId="0" fontId="5" fillId="0" borderId="0" xfId="881" applyNumberFormat="1" applyFont="1" applyFill="1" applyAlignment="1" applyProtection="1">
      <alignment horizontal="center"/>
    </xf>
    <xf numFmtId="0"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center"/>
    </xf>
    <xf numFmtId="0" fontId="4" fillId="0" borderId="0" xfId="0" applyFont="1" applyFill="1" applyProtection="1"/>
    <xf numFmtId="3" fontId="8" fillId="0" borderId="0" xfId="0" applyNumberFormat="1" applyFont="1" applyFill="1" applyAlignment="1" applyProtection="1">
      <alignment horizontal="center"/>
    </xf>
    <xf numFmtId="49" fontId="7" fillId="0" borderId="0" xfId="881" applyNumberFormat="1" applyFont="1" applyFill="1" applyProtection="1"/>
    <xf numFmtId="39" fontId="7" fillId="0" borderId="0" xfId="198" applyNumberFormat="1" applyFont="1" applyFill="1" applyAlignment="1" applyProtection="1">
      <alignment horizontal="center"/>
    </xf>
    <xf numFmtId="0" fontId="5" fillId="0" borderId="6"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
    </xf>
    <xf numFmtId="0" fontId="7" fillId="0" borderId="6" xfId="881" applyNumberFormat="1" applyFont="1" applyFill="1" applyBorder="1" applyAlignment="1" applyProtection="1">
      <alignment horizontal="center"/>
    </xf>
    <xf numFmtId="0" fontId="7" fillId="0" borderId="0" xfId="0" applyNumberFormat="1" applyFont="1" applyFill="1" applyProtection="1"/>
    <xf numFmtId="3" fontId="7" fillId="0" borderId="0" xfId="881" applyNumberFormat="1" applyFont="1" applyFill="1" applyProtection="1"/>
    <xf numFmtId="0" fontId="7" fillId="0" borderId="0" xfId="881" applyNumberFormat="1" applyFont="1" applyFill="1" applyAlignment="1" applyProtection="1">
      <alignment horizontal="left"/>
    </xf>
    <xf numFmtId="3" fontId="7" fillId="0" borderId="0" xfId="881" applyNumberFormat="1" applyFont="1" applyFill="1" applyAlignment="1" applyProtection="1">
      <alignment horizontal="left"/>
    </xf>
    <xf numFmtId="0" fontId="7" fillId="0" borderId="6" xfId="881" applyNumberFormat="1" applyFont="1" applyFill="1" applyBorder="1" applyAlignment="1" applyProtection="1">
      <alignment horizontal="centerContinuous"/>
    </xf>
    <xf numFmtId="0" fontId="7" fillId="0" borderId="0" xfId="0" applyNumberFormat="1" applyFont="1" applyFill="1" applyAlignment="1" applyProtection="1"/>
    <xf numFmtId="41" fontId="7" fillId="0" borderId="0" xfId="881" applyNumberFormat="1" applyFont="1" applyFill="1" applyBorder="1" applyAlignment="1" applyProtection="1"/>
    <xf numFmtId="3" fontId="7" fillId="0" borderId="0" xfId="881" applyNumberFormat="1" applyFont="1" applyFill="1" applyAlignment="1" applyProtection="1">
      <alignment horizontal="center"/>
    </xf>
    <xf numFmtId="165" fontId="7" fillId="0" borderId="0" xfId="881" applyNumberFormat="1" applyFont="1" applyFill="1" applyAlignment="1" applyProtection="1">
      <alignment horizontal="right"/>
    </xf>
    <xf numFmtId="42" fontId="7" fillId="0" borderId="0" xfId="881" applyNumberFormat="1" applyFont="1" applyFill="1" applyBorder="1" applyAlignment="1" applyProtection="1"/>
    <xf numFmtId="4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Continuous"/>
    </xf>
    <xf numFmtId="0" fontId="7" fillId="0" borderId="0" xfId="0" applyNumberFormat="1" applyFont="1" applyFill="1" applyAlignment="1" applyProtection="1">
      <alignment wrapText="1"/>
    </xf>
    <xf numFmtId="170" fontId="7" fillId="0" borderId="15" xfId="881" applyNumberFormat="1" applyFont="1" applyFill="1" applyBorder="1" applyAlignment="1" applyProtection="1"/>
    <xf numFmtId="42" fontId="7" fillId="0" borderId="0" xfId="881" applyNumberFormat="1" applyFont="1" applyFill="1" applyAlignment="1" applyProtection="1"/>
    <xf numFmtId="172" fontId="64" fillId="0" borderId="0" xfId="881" applyFont="1" applyFill="1" applyAlignment="1" applyProtection="1">
      <alignment horizontal="center" wrapText="1"/>
    </xf>
    <xf numFmtId="41" fontId="7" fillId="0" borderId="0" xfId="881" applyNumberFormat="1" applyFont="1" applyFill="1" applyAlignment="1" applyProtection="1"/>
    <xf numFmtId="43" fontId="7" fillId="0" borderId="0" xfId="198" applyFont="1" applyFill="1" applyProtection="1"/>
    <xf numFmtId="171" fontId="7" fillId="0" borderId="0" xfId="881" applyNumberFormat="1" applyFont="1" applyFill="1" applyProtection="1"/>
    <xf numFmtId="10" fontId="7" fillId="0" borderId="0" xfId="881" applyNumberFormat="1" applyFont="1" applyFill="1" applyAlignment="1" applyProtection="1"/>
    <xf numFmtId="10" fontId="7" fillId="0" borderId="0" xfId="881" applyNumberFormat="1" applyFont="1" applyFill="1" applyProtection="1"/>
    <xf numFmtId="10" fontId="7" fillId="0" borderId="0" xfId="899" applyNumberFormat="1" applyFont="1" applyFill="1" applyAlignment="1" applyProtection="1"/>
    <xf numFmtId="173" fontId="7" fillId="0" borderId="0" xfId="198" applyNumberFormat="1" applyFont="1" applyFill="1" applyAlignment="1" applyProtection="1"/>
    <xf numFmtId="42" fontId="7" fillId="0" borderId="0" xfId="899" applyNumberFormat="1" applyFont="1" applyFill="1" applyAlignment="1" applyProtection="1"/>
    <xf numFmtId="43" fontId="7" fillId="0" borderId="0" xfId="198" applyFont="1" applyFill="1" applyAlignment="1" applyProtection="1"/>
    <xf numFmtId="41"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left"/>
    </xf>
    <xf numFmtId="0" fontId="5" fillId="0" borderId="0" xfId="881" applyNumberFormat="1" applyFont="1" applyFill="1" applyAlignment="1" applyProtection="1">
      <alignment horizontal="center" vertical="center"/>
    </xf>
    <xf numFmtId="3" fontId="8" fillId="0" borderId="0" xfId="881" applyNumberFormat="1" applyFont="1" applyFill="1" applyAlignment="1" applyProtection="1">
      <alignment horizontal="center"/>
    </xf>
    <xf numFmtId="172" fontId="8" fillId="0" borderId="0" xfId="881" applyFont="1" applyFill="1" applyAlignment="1" applyProtection="1">
      <alignment horizontal="center"/>
    </xf>
    <xf numFmtId="49" fontId="8" fillId="0" borderId="0" xfId="881" applyNumberFormat="1" applyFont="1" applyFill="1" applyAlignment="1" applyProtection="1">
      <alignment horizontal="center"/>
    </xf>
    <xf numFmtId="0" fontId="10" fillId="0" borderId="0" xfId="881" applyNumberFormat="1" applyFont="1" applyFill="1" applyAlignment="1" applyProtection="1">
      <alignment horizontal="center"/>
    </xf>
    <xf numFmtId="172" fontId="10" fillId="0" borderId="0" xfId="881" applyFont="1" applyFill="1" applyBorder="1" applyAlignment="1" applyProtection="1">
      <alignment horizontal="center"/>
    </xf>
    <xf numFmtId="3" fontId="8" fillId="0" borderId="0" xfId="881" applyNumberFormat="1" applyFont="1" applyFill="1" applyAlignment="1" applyProtection="1"/>
    <xf numFmtId="0" fontId="5" fillId="0" borderId="0" xfId="881" applyNumberFormat="1" applyFont="1" applyFill="1" applyBorder="1" applyAlignment="1" applyProtection="1">
      <alignment horizontal="center"/>
    </xf>
    <xf numFmtId="3" fontId="14" fillId="0" borderId="0" xfId="881" applyNumberFormat="1" applyFont="1" applyFill="1" applyAlignment="1" applyProtection="1">
      <alignment horizontal="center"/>
    </xf>
    <xf numFmtId="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xf numFmtId="3" fontId="77" fillId="0" borderId="0" xfId="881" applyNumberFormat="1" applyFont="1" applyFill="1" applyAlignment="1" applyProtection="1"/>
    <xf numFmtId="0" fontId="7" fillId="0" borderId="0" xfId="881" applyNumberFormat="1" applyFont="1" applyFill="1" applyAlignment="1" applyProtection="1">
      <alignment horizontal="center" vertical="center"/>
    </xf>
    <xf numFmtId="0" fontId="7" fillId="0" borderId="0" xfId="881" applyNumberFormat="1" applyFont="1" applyFill="1" applyBorder="1" applyAlignment="1" applyProtection="1">
      <alignment vertical="center"/>
    </xf>
    <xf numFmtId="3" fontId="77" fillId="0" borderId="0" xfId="881" applyNumberFormat="1" applyFont="1" applyFill="1" applyAlignment="1" applyProtection="1">
      <alignment vertical="center" wrapText="1"/>
    </xf>
    <xf numFmtId="3" fontId="7" fillId="0" borderId="0" xfId="881" applyNumberFormat="1" applyFont="1" applyFill="1" applyAlignment="1" applyProtection="1">
      <alignment horizontal="center" vertical="center"/>
    </xf>
    <xf numFmtId="3" fontId="7" fillId="0" borderId="0" xfId="881" applyNumberFormat="1" applyFont="1" applyFill="1" applyAlignment="1" applyProtection="1">
      <alignment vertical="center"/>
    </xf>
    <xf numFmtId="41" fontId="7" fillId="0" borderId="0" xfId="881" applyNumberFormat="1" applyFont="1" applyFill="1" applyAlignment="1" applyProtection="1">
      <alignment vertical="center"/>
    </xf>
    <xf numFmtId="41" fontId="7" fillId="0" borderId="6" xfId="881" applyNumberFormat="1" applyFont="1" applyFill="1" applyBorder="1" applyAlignment="1" applyProtection="1"/>
    <xf numFmtId="0" fontId="4" fillId="0" borderId="0" xfId="0" applyFont="1" applyFill="1" applyAlignment="1" applyProtection="1"/>
    <xf numFmtId="165" fontId="8" fillId="0" borderId="0" xfId="881" applyNumberFormat="1" applyFont="1" applyFill="1" applyAlignment="1" applyProtection="1"/>
    <xf numFmtId="0" fontId="4" fillId="0" borderId="0" xfId="0" applyFont="1" applyFill="1" applyAlignment="1" applyProtection="1">
      <alignment horizontal="center"/>
    </xf>
    <xf numFmtId="44" fontId="7" fillId="0" borderId="0" xfId="881" applyNumberFormat="1" applyFont="1" applyFill="1" applyAlignment="1" applyProtection="1">
      <alignment horizontal="right"/>
    </xf>
    <xf numFmtId="172" fontId="8" fillId="0" borderId="0" xfId="881" applyFont="1" applyFill="1" applyAlignment="1" applyProtection="1">
      <alignment horizontal="right"/>
    </xf>
    <xf numFmtId="181" fontId="8" fillId="0" borderId="0" xfId="198" applyNumberFormat="1" applyFont="1" applyFill="1" applyAlignment="1" applyProtection="1"/>
    <xf numFmtId="183" fontId="7" fillId="0" borderId="0" xfId="881" applyNumberFormat="1" applyFont="1" applyFill="1" applyAlignment="1" applyProtection="1"/>
    <xf numFmtId="182" fontId="7" fillId="0" borderId="0" xfId="881" applyNumberFormat="1" applyFont="1" applyFill="1" applyAlignment="1" applyProtection="1"/>
    <xf numFmtId="3" fontId="7" fillId="0" borderId="0" xfId="881" applyNumberFormat="1" applyFont="1" applyFill="1" applyAlignment="1" applyProtection="1">
      <alignment wrapText="1"/>
    </xf>
    <xf numFmtId="3" fontId="8" fillId="0" borderId="0" xfId="881" applyNumberFormat="1" applyFont="1" applyFill="1" applyAlignment="1" applyProtection="1">
      <alignment horizontal="right" vertical="center"/>
    </xf>
    <xf numFmtId="165" fontId="7" fillId="0" borderId="0" xfId="881" applyNumberFormat="1" applyFont="1" applyFill="1" applyAlignment="1" applyProtection="1"/>
    <xf numFmtId="0" fontId="7" fillId="0" borderId="0" xfId="881" applyNumberFormat="1" applyFont="1" applyFill="1" applyAlignment="1" applyProtection="1">
      <alignment horizontal="left" wrapText="1"/>
    </xf>
    <xf numFmtId="0" fontId="4" fillId="0" borderId="0" xfId="0" applyFont="1" applyFill="1" applyAlignment="1" applyProtection="1">
      <alignment wrapText="1"/>
    </xf>
    <xf numFmtId="0" fontId="4" fillId="0" borderId="0" xfId="0" applyFont="1" applyFill="1" applyAlignment="1" applyProtection="1">
      <alignment horizontal="center" wrapText="1"/>
    </xf>
    <xf numFmtId="164" fontId="7" fillId="0" borderId="0" xfId="881" applyNumberFormat="1" applyFont="1" applyFill="1" applyAlignment="1" applyProtection="1">
      <alignment horizontal="center"/>
    </xf>
    <xf numFmtId="176" fontId="7" fillId="0" borderId="0" xfId="198" applyNumberFormat="1" applyFont="1" applyFill="1" applyAlignment="1" applyProtection="1">
      <alignment horizontal="center"/>
    </xf>
    <xf numFmtId="181" fontId="7" fillId="0" borderId="0" xfId="198" applyNumberFormat="1" applyFont="1" applyFill="1" applyAlignment="1" applyProtection="1"/>
    <xf numFmtId="41" fontId="7" fillId="0" borderId="0" xfId="881" applyNumberFormat="1" applyFont="1" applyFill="1" applyAlignment="1" applyProtection="1">
      <alignment horizontal="center" vertical="center"/>
    </xf>
    <xf numFmtId="41" fontId="7" fillId="0" borderId="29" xfId="881" applyNumberFormat="1" applyFont="1" applyFill="1" applyBorder="1" applyAlignment="1" applyProtection="1"/>
    <xf numFmtId="172" fontId="7" fillId="0" borderId="0" xfId="881" applyFont="1" applyFill="1" applyAlignment="1" applyProtection="1">
      <alignment horizontal="center"/>
    </xf>
    <xf numFmtId="0" fontId="8" fillId="0" borderId="0" xfId="881" applyNumberFormat="1" applyFont="1" applyFill="1" applyAlignment="1" applyProtection="1">
      <alignment horizontal="center"/>
    </xf>
    <xf numFmtId="3" fontId="10" fillId="0" borderId="0" xfId="881" applyNumberFormat="1" applyFont="1" applyFill="1" applyAlignment="1" applyProtection="1">
      <alignment horizontal="center"/>
    </xf>
    <xf numFmtId="172" fontId="5" fillId="0" borderId="0" xfId="881" applyFont="1" applyFill="1" applyAlignment="1" applyProtection="1">
      <alignment horizontal="center"/>
    </xf>
    <xf numFmtId="3" fontId="10" fillId="0" borderId="0" xfId="881" applyNumberFormat="1" applyFont="1" applyFill="1" applyAlignment="1" applyProtection="1"/>
    <xf numFmtId="41" fontId="7" fillId="27" borderId="0" xfId="879" applyNumberFormat="1" applyFont="1" applyFill="1" applyProtection="1"/>
    <xf numFmtId="41" fontId="7" fillId="0" borderId="0" xfId="879" applyNumberFormat="1" applyFont="1" applyFill="1" applyProtection="1"/>
    <xf numFmtId="5" fontId="7" fillId="0" borderId="0" xfId="881" applyNumberFormat="1" applyFont="1" applyFill="1" applyBorder="1" applyAlignment="1" applyProtection="1"/>
    <xf numFmtId="41" fontId="7" fillId="0" borderId="17" xfId="881" applyNumberFormat="1" applyFont="1" applyFill="1" applyBorder="1" applyAlignment="1" applyProtection="1"/>
    <xf numFmtId="43" fontId="4" fillId="0" borderId="0" xfId="198" applyNumberFormat="1" applyFont="1" applyFill="1" applyAlignment="1" applyProtection="1"/>
    <xf numFmtId="3" fontId="7" fillId="0" borderId="0" xfId="881" applyNumberFormat="1" applyFont="1" applyFill="1" applyBorder="1" applyAlignment="1" applyProtection="1"/>
    <xf numFmtId="165" fontId="7" fillId="0" borderId="0" xfId="881" applyNumberFormat="1" applyFont="1" applyFill="1" applyBorder="1" applyAlignment="1" applyProtection="1"/>
    <xf numFmtId="3" fontId="7" fillId="0" borderId="0" xfId="881" applyNumberFormat="1" applyFont="1" applyFill="1" applyAlignment="1" applyProtection="1">
      <alignment vertical="center" wrapText="1"/>
    </xf>
    <xf numFmtId="166" fontId="7" fillId="0" borderId="0" xfId="881" applyNumberFormat="1" applyFont="1" applyFill="1" applyAlignment="1" applyProtection="1"/>
    <xf numFmtId="167" fontId="7" fillId="0" borderId="0" xfId="881" applyNumberFormat="1" applyFont="1" applyFill="1" applyAlignment="1" applyProtection="1"/>
    <xf numFmtId="164" fontId="7" fillId="0" borderId="0" xfId="881" applyNumberFormat="1" applyFont="1" applyFill="1" applyBorder="1" applyAlignment="1" applyProtection="1">
      <alignment horizontal="left"/>
    </xf>
    <xf numFmtId="168" fontId="7" fillId="0" borderId="0" xfId="881" applyNumberFormat="1" applyFont="1" applyFill="1" applyAlignment="1" applyProtection="1"/>
    <xf numFmtId="10" fontId="7" fillId="0" borderId="0" xfId="881" applyNumberFormat="1" applyFont="1" applyFill="1" applyAlignment="1" applyProtection="1">
      <alignment horizontal="right"/>
    </xf>
    <xf numFmtId="10" fontId="4" fillId="0" borderId="0" xfId="0" applyNumberFormat="1" applyFont="1" applyFill="1" applyProtection="1"/>
    <xf numFmtId="166" fontId="7" fillId="0" borderId="0" xfId="881" applyNumberFormat="1" applyFont="1" applyFill="1" applyAlignment="1" applyProtection="1">
      <alignment horizontal="center"/>
    </xf>
    <xf numFmtId="188" fontId="7" fillId="0" borderId="0" xfId="881" applyNumberFormat="1" applyFont="1" applyFill="1" applyAlignment="1" applyProtection="1">
      <alignment horizontal="center"/>
    </xf>
    <xf numFmtId="189" fontId="7" fillId="0" borderId="0" xfId="881" applyNumberFormat="1" applyFont="1" applyFill="1" applyAlignment="1" applyProtection="1"/>
    <xf numFmtId="178" fontId="7" fillId="0" borderId="0" xfId="881" applyNumberFormat="1" applyFont="1" applyFill="1" applyAlignment="1" applyProtection="1">
      <alignment horizontal="right"/>
    </xf>
    <xf numFmtId="186" fontId="7" fillId="0" borderId="0" xfId="198" applyNumberFormat="1" applyFont="1" applyFill="1" applyAlignment="1" applyProtection="1">
      <alignment horizontal="center"/>
    </xf>
    <xf numFmtId="178" fontId="7" fillId="0" borderId="0" xfId="881" applyNumberFormat="1" applyFont="1" applyFill="1" applyAlignment="1" applyProtection="1">
      <alignment horizontal="center"/>
    </xf>
    <xf numFmtId="10" fontId="7" fillId="0" borderId="0" xfId="881" applyNumberFormat="1" applyFont="1" applyFill="1" applyAlignment="1" applyProtection="1">
      <alignment horizontal="left"/>
    </xf>
    <xf numFmtId="168" fontId="7" fillId="0" borderId="0" xfId="881" applyNumberFormat="1" applyFont="1" applyFill="1" applyAlignment="1" applyProtection="1">
      <alignment horizontal="left"/>
    </xf>
    <xf numFmtId="41" fontId="7" fillId="0" borderId="0" xfId="881" applyNumberFormat="1" applyFont="1" applyFill="1" applyAlignment="1" applyProtection="1">
      <alignment horizontal="right"/>
    </xf>
    <xf numFmtId="178" fontId="7" fillId="0" borderId="0" xfId="881" applyNumberFormat="1" applyFont="1" applyFill="1" applyAlignment="1" applyProtection="1"/>
    <xf numFmtId="164" fontId="7" fillId="0" borderId="0" xfId="881" applyNumberFormat="1" applyFont="1" applyFill="1" applyBorder="1" applyAlignment="1" applyProtection="1">
      <alignment horizontal="left" vertical="center"/>
    </xf>
    <xf numFmtId="179" fontId="7" fillId="0" borderId="0" xfId="881" applyNumberFormat="1" applyFont="1" applyFill="1" applyAlignment="1" applyProtection="1"/>
    <xf numFmtId="3" fontId="7" fillId="0" borderId="0" xfId="881" applyNumberFormat="1" applyFont="1" applyFill="1" applyAlignment="1" applyProtection="1">
      <alignment horizontal="right"/>
    </xf>
    <xf numFmtId="173" fontId="7" fillId="0" borderId="15" xfId="198" applyNumberFormat="1" applyFont="1" applyFill="1" applyBorder="1" applyAlignment="1" applyProtection="1"/>
    <xf numFmtId="0" fontId="7" fillId="0" borderId="0" xfId="881" applyNumberFormat="1" applyFont="1" applyFill="1" applyBorder="1" applyAlignment="1" applyProtection="1">
      <alignment horizontal="left"/>
    </xf>
    <xf numFmtId="0" fontId="8" fillId="0" borderId="0" xfId="881" applyNumberFormat="1" applyFont="1" applyFill="1" applyAlignment="1" applyProtection="1"/>
    <xf numFmtId="0" fontId="7" fillId="0" borderId="0" xfId="0" applyFont="1" applyFill="1" applyAlignment="1" applyProtection="1">
      <alignment horizontal="left"/>
    </xf>
    <xf numFmtId="0" fontId="7" fillId="0" borderId="0" xfId="881" quotePrefix="1" applyNumberFormat="1" applyFont="1" applyFill="1" applyAlignment="1" applyProtection="1">
      <alignment horizontal="left"/>
    </xf>
    <xf numFmtId="172" fontId="7" fillId="0" borderId="0" xfId="881" applyFont="1" applyFill="1" applyBorder="1" applyAlignment="1" applyProtection="1">
      <alignment horizontal="center"/>
    </xf>
    <xf numFmtId="173" fontId="7" fillId="0" borderId="6" xfId="198" applyNumberFormat="1" applyFont="1" applyFill="1" applyBorder="1" applyAlignment="1" applyProtection="1"/>
    <xf numFmtId="3" fontId="7" fillId="0" borderId="0" xfId="881" applyNumberFormat="1" applyFont="1" applyFill="1" applyBorder="1" applyAlignment="1" applyProtection="1">
      <alignment horizontal="left"/>
    </xf>
    <xf numFmtId="49" fontId="7" fillId="0" borderId="0" xfId="881" applyNumberFormat="1" applyFont="1" applyFill="1" applyBorder="1" applyProtection="1"/>
    <xf numFmtId="49" fontId="7" fillId="0" borderId="0" xfId="881" applyNumberFormat="1" applyFont="1" applyFill="1" applyBorder="1" applyAlignment="1" applyProtection="1"/>
    <xf numFmtId="49" fontId="7" fillId="0" borderId="0" xfId="881" applyNumberFormat="1" applyFont="1" applyFill="1" applyBorder="1" applyAlignment="1" applyProtection="1">
      <alignment horizontal="center"/>
    </xf>
    <xf numFmtId="3" fontId="8" fillId="0" borderId="0" xfId="881" applyNumberFormat="1" applyFont="1" applyFill="1" applyBorder="1" applyAlignment="1" applyProtection="1"/>
    <xf numFmtId="165" fontId="8" fillId="0" borderId="0" xfId="881" applyNumberFormat="1" applyFont="1" applyFill="1" applyBorder="1" applyAlignment="1" applyProtection="1">
      <alignment horizontal="right"/>
    </xf>
    <xf numFmtId="3" fontId="7" fillId="0" borderId="0" xfId="881" applyNumberFormat="1" applyFont="1" applyFill="1" applyAlignment="1" applyProtection="1">
      <alignment horizontal="center" wrapText="1"/>
    </xf>
    <xf numFmtId="4" fontId="7" fillId="0" borderId="0" xfId="881" applyNumberFormat="1" applyFont="1" applyFill="1" applyAlignment="1" applyProtection="1"/>
    <xf numFmtId="3" fontId="7" fillId="0" borderId="0" xfId="881" applyNumberFormat="1" applyFont="1" applyAlignment="1" applyProtection="1"/>
    <xf numFmtId="166" fontId="8" fillId="0" borderId="0" xfId="881" applyNumberFormat="1" applyFont="1" applyFill="1" applyProtection="1"/>
    <xf numFmtId="3" fontId="7" fillId="0" borderId="6" xfId="881" applyNumberFormat="1" applyFont="1" applyFill="1" applyBorder="1" applyAlignment="1" applyProtection="1">
      <alignment horizontal="center"/>
    </xf>
    <xf numFmtId="0" fontId="14" fillId="0" borderId="0" xfId="881" applyNumberFormat="1" applyFont="1" applyFill="1" applyBorder="1" applyAlignment="1" applyProtection="1">
      <alignment horizontal="left"/>
    </xf>
    <xf numFmtId="41" fontId="7" fillId="0" borderId="6" xfId="881" applyNumberFormat="1" applyFont="1" applyFill="1" applyBorder="1" applyAlignment="1" applyProtection="1">
      <alignment horizontal="center"/>
    </xf>
    <xf numFmtId="3" fontId="10" fillId="0" borderId="0" xfId="881" applyNumberFormat="1" applyFont="1" applyFill="1" applyAlignment="1" applyProtection="1">
      <alignment horizontal="center" wrapText="1"/>
    </xf>
    <xf numFmtId="0" fontId="4" fillId="0" borderId="0" xfId="0" applyFont="1" applyProtection="1"/>
    <xf numFmtId="0" fontId="77" fillId="0" borderId="6" xfId="881" applyNumberFormat="1" applyFont="1" applyFill="1" applyBorder="1" applyAlignment="1" applyProtection="1">
      <alignment horizontal="center"/>
    </xf>
    <xf numFmtId="169" fontId="7" fillId="0" borderId="0" xfId="881" applyNumberFormat="1" applyFont="1" applyFill="1" applyAlignment="1" applyProtection="1"/>
    <xf numFmtId="169" fontId="7" fillId="0" borderId="0" xfId="881" applyNumberFormat="1" applyFont="1" applyFill="1" applyBorder="1" applyAlignment="1" applyProtection="1"/>
    <xf numFmtId="10" fontId="7" fillId="27" borderId="0" xfId="899" applyNumberFormat="1" applyFont="1" applyFill="1" applyProtection="1"/>
    <xf numFmtId="169" fontId="7" fillId="0" borderId="6" xfId="881" applyNumberFormat="1" applyFont="1" applyFill="1" applyBorder="1" applyAlignment="1" applyProtection="1"/>
    <xf numFmtId="3" fontId="8" fillId="0" borderId="0" xfId="881" applyNumberFormat="1" applyFont="1" applyFill="1" applyAlignment="1" applyProtection="1">
      <alignment horizontal="right"/>
    </xf>
    <xf numFmtId="169" fontId="8" fillId="0" borderId="0" xfId="881" applyNumberFormat="1" applyFont="1" applyFill="1" applyAlignment="1" applyProtection="1"/>
    <xf numFmtId="191" fontId="7" fillId="0" borderId="0" xfId="899" applyNumberFormat="1" applyFont="1" applyFill="1" applyAlignment="1" applyProtection="1"/>
    <xf numFmtId="0" fontId="5" fillId="0" borderId="0" xfId="0" applyFont="1" applyFill="1" applyProtection="1"/>
    <xf numFmtId="0" fontId="7" fillId="0" borderId="0" xfId="0" applyFont="1" applyFill="1" applyProtection="1"/>
    <xf numFmtId="172" fontId="7" fillId="0" borderId="0" xfId="881" applyNumberFormat="1" applyFont="1" applyFill="1" applyAlignment="1" applyProtection="1"/>
    <xf numFmtId="172" fontId="10" fillId="0" borderId="0" xfId="881" applyFont="1" applyFill="1" applyAlignment="1" applyProtection="1">
      <alignment horizontal="center"/>
    </xf>
    <xf numFmtId="181" fontId="7" fillId="0" borderId="0" xfId="198" applyNumberFormat="1" applyFont="1" applyFill="1" applyProtection="1"/>
    <xf numFmtId="172" fontId="7" fillId="0" borderId="0" xfId="881" applyFont="1" applyFill="1" applyAlignment="1" applyProtection="1">
      <alignment horizontal="center" vertical="top"/>
    </xf>
    <xf numFmtId="0" fontId="4" fillId="0" borderId="0" xfId="0" applyFont="1" applyFill="1" applyAlignment="1" applyProtection="1">
      <alignment vertical="center" wrapText="1"/>
    </xf>
    <xf numFmtId="0" fontId="15" fillId="0" borderId="0" xfId="0" applyFont="1" applyAlignment="1" applyProtection="1">
      <alignment vertical="top" wrapText="1"/>
    </xf>
    <xf numFmtId="0" fontId="5" fillId="0" borderId="0" xfId="881" applyNumberFormat="1" applyFont="1" applyFill="1" applyAlignment="1" applyProtection="1">
      <alignment horizontal="center" vertical="top"/>
    </xf>
    <xf numFmtId="0" fontId="7" fillId="0" borderId="0" xfId="881" applyNumberFormat="1" applyFont="1" applyFill="1" applyAlignment="1" applyProtection="1">
      <alignment horizontal="center" vertical="top"/>
    </xf>
    <xf numFmtId="166" fontId="7" fillId="0" borderId="0" xfId="881" applyNumberFormat="1" applyFont="1" applyFill="1" applyProtection="1"/>
    <xf numFmtId="0" fontId="5" fillId="0" borderId="0" xfId="881" applyNumberFormat="1" applyFont="1" applyFill="1" applyProtection="1"/>
    <xf numFmtId="1" fontId="7" fillId="0" borderId="0" xfId="881" applyNumberFormat="1" applyFont="1" applyFill="1" applyProtection="1"/>
    <xf numFmtId="0" fontId="157" fillId="0" borderId="0" xfId="760" applyNumberFormat="1" applyFont="1" applyAlignment="1" applyProtection="1"/>
    <xf numFmtId="0" fontId="12" fillId="0" borderId="0" xfId="760" applyFont="1" applyAlignment="1" applyProtection="1"/>
    <xf numFmtId="0" fontId="7" fillId="0" borderId="0" xfId="791" applyFont="1" applyFill="1" applyBorder="1" applyAlignment="1" applyProtection="1"/>
    <xf numFmtId="0" fontId="12" fillId="0" borderId="0" xfId="760" applyNumberFormat="1" applyFont="1" applyAlignment="1" applyProtection="1">
      <alignment horizontal="center"/>
    </xf>
    <xf numFmtId="0" fontId="12" fillId="0" borderId="0" xfId="760" applyFont="1" applyAlignment="1" applyProtection="1">
      <alignment horizontal="right"/>
    </xf>
    <xf numFmtId="0" fontId="8" fillId="0" borderId="0" xfId="791" applyFont="1" applyFill="1" applyBorder="1" applyAlignment="1" applyProtection="1"/>
    <xf numFmtId="0" fontId="9" fillId="0" borderId="0" xfId="1123" applyFont="1" applyAlignment="1" applyProtection="1">
      <alignment horizontal="centerContinuous"/>
    </xf>
    <xf numFmtId="0" fontId="12" fillId="0" borderId="0" xfId="1123" applyFont="1" applyFill="1" applyAlignment="1" applyProtection="1">
      <alignment horizontal="left"/>
    </xf>
    <xf numFmtId="0" fontId="9" fillId="0" borderId="0" xfId="1123" applyFont="1" applyAlignment="1" applyProtection="1">
      <alignment horizontal="center"/>
    </xf>
    <xf numFmtId="0" fontId="12" fillId="0" borderId="0" xfId="760" applyFont="1" applyProtection="1"/>
    <xf numFmtId="0" fontId="12" fillId="0" borderId="53" xfId="760" applyNumberFormat="1" applyFont="1" applyBorder="1" applyAlignment="1" applyProtection="1">
      <alignment horizontal="center" wrapText="1"/>
    </xf>
    <xf numFmtId="0" fontId="9" fillId="0" borderId="52" xfId="1123" applyFont="1" applyBorder="1" applyAlignment="1" applyProtection="1">
      <alignment horizontal="center" wrapText="1"/>
    </xf>
    <xf numFmtId="0" fontId="9" fillId="0" borderId="51" xfId="1123" applyFont="1" applyBorder="1" applyAlignment="1" applyProtection="1">
      <alignment horizontal="center" wrapText="1"/>
    </xf>
    <xf numFmtId="0" fontId="9" fillId="0" borderId="0" xfId="1123" applyFont="1" applyBorder="1" applyAlignment="1" applyProtection="1">
      <alignment horizontal="center" wrapText="1"/>
    </xf>
    <xf numFmtId="0" fontId="9" fillId="0" borderId="50" xfId="1123" applyFont="1" applyBorder="1" applyAlignment="1" applyProtection="1">
      <alignment horizontal="center" wrapText="1"/>
    </xf>
    <xf numFmtId="0" fontId="12" fillId="0" borderId="0" xfId="760" applyFont="1" applyAlignment="1" applyProtection="1">
      <alignment wrapText="1"/>
    </xf>
    <xf numFmtId="0" fontId="12" fillId="0" borderId="51" xfId="760" applyNumberFormat="1" applyFont="1" applyBorder="1" applyAlignment="1" applyProtection="1">
      <alignment horizontal="center"/>
    </xf>
    <xf numFmtId="0" fontId="9" fillId="0" borderId="50" xfId="1123" applyFont="1" applyBorder="1" applyAlignment="1" applyProtection="1">
      <alignment horizontal="center"/>
    </xf>
    <xf numFmtId="0" fontId="9" fillId="0" borderId="51" xfId="1123" applyFont="1" applyBorder="1" applyAlignment="1" applyProtection="1">
      <alignment horizontal="center"/>
    </xf>
    <xf numFmtId="0" fontId="9" fillId="0" borderId="0" xfId="1123" applyFont="1" applyBorder="1" applyAlignment="1" applyProtection="1">
      <alignment horizontal="center"/>
    </xf>
    <xf numFmtId="0" fontId="159" fillId="0" borderId="0" xfId="760" applyFont="1" applyAlignment="1" applyProtection="1"/>
    <xf numFmtId="3" fontId="20" fillId="0" borderId="49" xfId="791" applyNumberFormat="1" applyFont="1" applyFill="1" applyBorder="1" applyAlignment="1" applyProtection="1">
      <alignment horizontal="center" wrapText="1"/>
    </xf>
    <xf numFmtId="3" fontId="20" fillId="0" borderId="11" xfId="791" applyNumberFormat="1" applyFont="1" applyFill="1" applyBorder="1" applyAlignment="1" applyProtection="1">
      <alignment horizontal="center" wrapText="1"/>
    </xf>
    <xf numFmtId="3" fontId="20" fillId="0" borderId="48" xfId="791" applyNumberFormat="1" applyFont="1" applyFill="1" applyBorder="1" applyAlignment="1" applyProtection="1">
      <alignment horizontal="center" wrapText="1"/>
    </xf>
    <xf numFmtId="0" fontId="12" fillId="0" borderId="50" xfId="1123" quotePrefix="1" applyFont="1" applyBorder="1" applyAlignment="1" applyProtection="1">
      <alignment horizontal="left"/>
    </xf>
    <xf numFmtId="173" fontId="84" fillId="27" borderId="51" xfId="0" applyNumberFormat="1" applyFont="1" applyFill="1" applyBorder="1" applyProtection="1"/>
    <xf numFmtId="173" fontId="84" fillId="27" borderId="0" xfId="0" applyNumberFormat="1" applyFont="1" applyFill="1" applyBorder="1" applyProtection="1"/>
    <xf numFmtId="173" fontId="84" fillId="27" borderId="0" xfId="198" applyNumberFormat="1" applyFont="1" applyFill="1" applyBorder="1" applyProtection="1"/>
    <xf numFmtId="173" fontId="84" fillId="27" borderId="50" xfId="0" applyNumberFormat="1" applyFont="1" applyFill="1" applyBorder="1" applyProtection="1"/>
    <xf numFmtId="173" fontId="84" fillId="66" borderId="51" xfId="0" applyNumberFormat="1" applyFont="1" applyFill="1" applyBorder="1" applyProtection="1"/>
    <xf numFmtId="173" fontId="84" fillId="66" borderId="0" xfId="0" applyNumberFormat="1" applyFont="1" applyFill="1" applyBorder="1" applyProtection="1"/>
    <xf numFmtId="173" fontId="84" fillId="66" borderId="0" xfId="198" applyNumberFormat="1" applyFont="1" applyFill="1" applyBorder="1" applyProtection="1"/>
    <xf numFmtId="173" fontId="84" fillId="66" borderId="50" xfId="0" applyNumberFormat="1" applyFont="1" applyFill="1" applyBorder="1" applyProtection="1"/>
    <xf numFmtId="0" fontId="12" fillId="0" borderId="50" xfId="1123" applyFont="1" applyBorder="1" applyProtection="1"/>
    <xf numFmtId="0" fontId="12" fillId="0" borderId="49" xfId="760" applyNumberFormat="1" applyFont="1" applyBorder="1" applyAlignment="1" applyProtection="1">
      <alignment horizontal="center"/>
    </xf>
    <xf numFmtId="0" fontId="12" fillId="0" borderId="48" xfId="1123" applyFont="1" applyBorder="1" applyProtection="1"/>
    <xf numFmtId="0" fontId="12" fillId="0" borderId="66" xfId="760" applyNumberFormat="1" applyFont="1" applyBorder="1" applyAlignment="1" applyProtection="1">
      <alignment horizontal="center"/>
    </xf>
    <xf numFmtId="0" fontId="4" fillId="0" borderId="67" xfId="1173" applyFont="1" applyBorder="1" applyAlignment="1" applyProtection="1">
      <alignment horizontal="left" wrapText="1"/>
    </xf>
    <xf numFmtId="173" fontId="12" fillId="0" borderId="66" xfId="276" applyNumberFormat="1" applyFont="1" applyBorder="1" applyProtection="1"/>
    <xf numFmtId="173" fontId="12" fillId="0" borderId="15" xfId="276" applyNumberFormat="1" applyFont="1" applyBorder="1" applyProtection="1"/>
    <xf numFmtId="173" fontId="12" fillId="0" borderId="67" xfId="276" applyNumberFormat="1" applyFont="1" applyBorder="1" applyProtection="1"/>
    <xf numFmtId="0" fontId="12" fillId="0" borderId="0" xfId="1123" applyFont="1" applyProtection="1"/>
    <xf numFmtId="37" fontId="12" fillId="0" borderId="0" xfId="1123" applyNumberFormat="1" applyFont="1" applyProtection="1"/>
    <xf numFmtId="172" fontId="12" fillId="0" borderId="0" xfId="1124" applyFont="1" applyAlignment="1" applyProtection="1"/>
    <xf numFmtId="3" fontId="20" fillId="0" borderId="0" xfId="791" applyNumberFormat="1" applyFont="1" applyFill="1" applyBorder="1" applyAlignment="1" applyProtection="1">
      <alignment horizontal="center" wrapText="1"/>
    </xf>
    <xf numFmtId="173" fontId="84" fillId="27" borderId="2" xfId="0" applyNumberFormat="1" applyFont="1" applyFill="1" applyBorder="1" applyProtection="1"/>
    <xf numFmtId="0" fontId="12" fillId="0" borderId="0" xfId="1125" applyFont="1" applyProtection="1"/>
    <xf numFmtId="0" fontId="9" fillId="0" borderId="0" xfId="1123" applyFont="1" applyProtection="1"/>
    <xf numFmtId="0" fontId="12" fillId="0" borderId="0" xfId="760" applyNumberFormat="1" applyFont="1" applyBorder="1" applyAlignment="1" applyProtection="1">
      <alignment horizontal="center" wrapText="1"/>
    </xf>
    <xf numFmtId="0" fontId="9" fillId="0" borderId="11" xfId="1123" applyFont="1" applyBorder="1" applyProtection="1"/>
    <xf numFmtId="0" fontId="9" fillId="0" borderId="11" xfId="1123" applyFont="1" applyBorder="1" applyAlignment="1" applyProtection="1">
      <alignment horizontal="center" wrapText="1"/>
    </xf>
    <xf numFmtId="0" fontId="9" fillId="0" borderId="2" xfId="1123" applyFont="1" applyBorder="1" applyAlignment="1" applyProtection="1">
      <alignment horizontal="center"/>
    </xf>
    <xf numFmtId="0" fontId="12" fillId="0" borderId="0" xfId="760" applyAlignment="1" applyProtection="1">
      <alignment horizontal="center"/>
    </xf>
    <xf numFmtId="0" fontId="84" fillId="27" borderId="0" xfId="198" applyNumberFormat="1" applyFont="1" applyFill="1" applyBorder="1" applyProtection="1"/>
    <xf numFmtId="0" fontId="12" fillId="0" borderId="15" xfId="760" applyFont="1" applyBorder="1" applyAlignment="1" applyProtection="1"/>
    <xf numFmtId="173" fontId="12" fillId="0" borderId="15" xfId="760" applyNumberFormat="1" applyFont="1" applyBorder="1" applyAlignment="1" applyProtection="1"/>
    <xf numFmtId="0" fontId="159" fillId="0" borderId="0" xfId="760" applyNumberFormat="1" applyFont="1" applyAlignment="1" applyProtection="1">
      <alignment horizontal="center"/>
    </xf>
    <xf numFmtId="0" fontId="13" fillId="0" borderId="0" xfId="760" applyNumberFormat="1" applyFont="1" applyAlignment="1" applyProtection="1">
      <alignment horizontal="center"/>
    </xf>
    <xf numFmtId="0" fontId="12" fillId="0" borderId="0" xfId="760" applyProtection="1"/>
    <xf numFmtId="0" fontId="12" fillId="0" borderId="48" xfId="1123" applyFont="1" applyBorder="1" applyAlignment="1" applyProtection="1">
      <alignment horizontal="left"/>
    </xf>
    <xf numFmtId="0" fontId="9" fillId="0" borderId="0" xfId="1123" applyFont="1" applyBorder="1" applyAlignment="1" applyProtection="1">
      <alignment wrapText="1"/>
    </xf>
    <xf numFmtId="0" fontId="4" fillId="0" borderId="0" xfId="760" applyNumberFormat="1" applyFont="1" applyAlignment="1" applyProtection="1">
      <alignment horizontal="center"/>
    </xf>
    <xf numFmtId="0" fontId="4" fillId="0" borderId="0" xfId="1123" applyFont="1" applyProtection="1"/>
    <xf numFmtId="37" fontId="4" fillId="0" borderId="0" xfId="1123" applyNumberFormat="1" applyFont="1" applyProtection="1"/>
    <xf numFmtId="0" fontId="4" fillId="0" borderId="0" xfId="760" applyFont="1" applyAlignment="1" applyProtection="1"/>
    <xf numFmtId="170" fontId="4" fillId="0" borderId="14" xfId="1124" applyNumberFormat="1" applyFont="1" applyBorder="1" applyAlignment="1" applyProtection="1"/>
    <xf numFmtId="172" fontId="4" fillId="0" borderId="0" xfId="1124" applyFont="1" applyAlignment="1" applyProtection="1"/>
    <xf numFmtId="0" fontId="4" fillId="0" borderId="0" xfId="1125" applyFont="1" applyProtection="1"/>
    <xf numFmtId="0" fontId="4" fillId="0" borderId="0" xfId="760" applyFont="1" applyProtection="1"/>
    <xf numFmtId="0" fontId="157" fillId="0" borderId="0" xfId="0" applyFont="1" applyAlignment="1" applyProtection="1"/>
    <xf numFmtId="0" fontId="12" fillId="0" borderId="0" xfId="0" applyFont="1" applyProtection="1"/>
    <xf numFmtId="3" fontId="8" fillId="0" borderId="0" xfId="198" applyNumberFormat="1" applyFont="1" applyFill="1" applyAlignment="1" applyProtection="1"/>
    <xf numFmtId="10" fontId="15" fillId="0" borderId="0" xfId="912" applyNumberFormat="1" applyFont="1" applyFill="1" applyAlignment="1" applyProtection="1">
      <alignment horizontal="center"/>
    </xf>
    <xf numFmtId="0" fontId="54" fillId="0" borderId="11" xfId="0" applyFont="1" applyBorder="1" applyAlignment="1" applyProtection="1">
      <alignment horizontal="center"/>
    </xf>
    <xf numFmtId="0" fontId="54" fillId="0" borderId="11" xfId="0" applyFont="1" applyBorder="1" applyProtection="1"/>
    <xf numFmtId="0" fontId="54" fillId="0" borderId="11" xfId="791" applyFont="1" applyFill="1" applyBorder="1" applyProtection="1"/>
    <xf numFmtId="173" fontId="54" fillId="0" borderId="11" xfId="276" applyNumberFormat="1" applyFont="1" applyFill="1" applyBorder="1" applyAlignment="1" applyProtection="1">
      <alignment horizontal="center"/>
    </xf>
    <xf numFmtId="0" fontId="54" fillId="0" borderId="0" xfId="791" applyFont="1" applyAlignment="1" applyProtection="1">
      <alignment horizontal="center"/>
    </xf>
    <xf numFmtId="0" fontId="31" fillId="0" borderId="0" xfId="791" applyFont="1" applyAlignment="1" applyProtection="1"/>
    <xf numFmtId="0" fontId="54" fillId="0" borderId="0" xfId="791" applyFont="1" applyProtection="1"/>
    <xf numFmtId="0" fontId="54" fillId="0" borderId="0" xfId="0" applyNumberFormat="1" applyFont="1" applyAlignment="1" applyProtection="1">
      <alignment horizontal="center"/>
    </xf>
    <xf numFmtId="0" fontId="54" fillId="0" borderId="0" xfId="877" applyNumberFormat="1" applyFont="1" applyAlignment="1" applyProtection="1"/>
    <xf numFmtId="0" fontId="54" fillId="0" borderId="0" xfId="0" applyFont="1" applyAlignment="1" applyProtection="1"/>
    <xf numFmtId="0" fontId="54" fillId="0" borderId="0" xfId="0" applyFont="1" applyAlignment="1" applyProtection="1">
      <alignment vertical="top"/>
    </xf>
    <xf numFmtId="0" fontId="54" fillId="0" borderId="0" xfId="0" applyFont="1" applyFill="1" applyAlignment="1" applyProtection="1"/>
    <xf numFmtId="0" fontId="12" fillId="0" borderId="0" xfId="0" applyFont="1" applyFill="1" applyProtection="1"/>
    <xf numFmtId="0" fontId="54" fillId="0" borderId="0" xfId="0" applyFont="1" applyFill="1" applyAlignment="1" applyProtection="1">
      <alignment vertical="top"/>
    </xf>
    <xf numFmtId="0" fontId="122" fillId="0" borderId="0" xfId="0" applyFont="1" applyFill="1" applyAlignment="1" applyProtection="1"/>
    <xf numFmtId="0" fontId="54" fillId="0" borderId="0" xfId="0" applyFont="1" applyProtection="1"/>
    <xf numFmtId="0" fontId="80" fillId="0" borderId="0" xfId="0" applyFont="1" applyProtection="1"/>
    <xf numFmtId="41" fontId="12" fillId="0" borderId="0" xfId="878" applyNumberFormat="1" applyFont="1" applyFill="1" applyBorder="1" applyProtection="1"/>
    <xf numFmtId="0" fontId="12" fillId="0" borderId="0" xfId="878" applyFont="1" applyFill="1" applyAlignment="1" applyProtection="1">
      <alignment horizontal="center" vertical="top"/>
    </xf>
    <xf numFmtId="0" fontId="12" fillId="0" borderId="0" xfId="878" applyFont="1" applyFill="1" applyAlignment="1" applyProtection="1">
      <alignment horizontal="center"/>
    </xf>
    <xf numFmtId="41" fontId="12" fillId="0" borderId="11" xfId="878" applyNumberFormat="1" applyFont="1" applyFill="1" applyBorder="1" applyProtection="1"/>
    <xf numFmtId="41" fontId="12" fillId="0" borderId="11" xfId="878" applyNumberFormat="1" applyFont="1" applyFill="1" applyBorder="1" applyAlignment="1" applyProtection="1">
      <alignment vertical="top"/>
    </xf>
    <xf numFmtId="0" fontId="12" fillId="0" borderId="0" xfId="878" applyFont="1" applyFill="1" applyProtection="1"/>
    <xf numFmtId="41" fontId="12" fillId="0" borderId="0" xfId="878" applyNumberFormat="1" applyFont="1" applyFill="1" applyProtection="1"/>
    <xf numFmtId="37" fontId="12" fillId="0" borderId="0" xfId="878" applyNumberFormat="1" applyFont="1" applyFill="1" applyProtection="1"/>
    <xf numFmtId="37" fontId="12" fillId="0" borderId="0" xfId="0" applyNumberFormat="1" applyFont="1" applyFill="1" applyProtection="1"/>
    <xf numFmtId="38" fontId="12" fillId="0" borderId="0" xfId="0" applyNumberFormat="1" applyFont="1" applyFill="1" applyProtection="1"/>
    <xf numFmtId="41" fontId="131" fillId="0" borderId="0" xfId="878" applyNumberFormat="1" applyFont="1" applyFill="1" applyProtection="1"/>
    <xf numFmtId="37" fontId="12" fillId="0" borderId="14" xfId="0" applyNumberFormat="1" applyFont="1" applyFill="1" applyBorder="1" applyProtection="1"/>
    <xf numFmtId="37" fontId="12" fillId="0" borderId="0" xfId="878" applyNumberFormat="1" applyFont="1" applyFill="1" applyAlignment="1" applyProtection="1">
      <alignment vertical="center"/>
    </xf>
    <xf numFmtId="175" fontId="13" fillId="0" borderId="0" xfId="878" applyNumberFormat="1" applyFont="1" applyFill="1" applyAlignment="1" applyProtection="1">
      <alignment vertical="center"/>
    </xf>
    <xf numFmtId="37" fontId="9" fillId="0" borderId="12" xfId="878" applyNumberFormat="1" applyFont="1" applyFill="1" applyBorder="1" applyProtection="1"/>
    <xf numFmtId="0" fontId="8" fillId="0" borderId="0" xfId="0" applyFont="1" applyFill="1" applyAlignment="1" applyProtection="1">
      <alignment horizontal="center"/>
    </xf>
    <xf numFmtId="37" fontId="12" fillId="0" borderId="0" xfId="878" applyNumberFormat="1" applyFont="1" applyFill="1" applyBorder="1" applyProtection="1"/>
    <xf numFmtId="0" fontId="88" fillId="0" borderId="0" xfId="878" applyFont="1" applyFill="1" applyProtection="1"/>
    <xf numFmtId="0" fontId="12" fillId="0" borderId="0" xfId="878" applyFont="1" applyFill="1" applyAlignment="1" applyProtection="1"/>
    <xf numFmtId="0" fontId="13" fillId="0" borderId="0" xfId="878" applyFont="1" applyFill="1" applyAlignment="1" applyProtection="1">
      <alignment horizontal="center"/>
    </xf>
    <xf numFmtId="43" fontId="12" fillId="27" borderId="0" xfId="198" applyFont="1" applyFill="1" applyBorder="1" applyProtection="1"/>
    <xf numFmtId="175" fontId="13" fillId="0" borderId="0" xfId="878" applyNumberFormat="1" applyFont="1" applyFill="1" applyAlignment="1" applyProtection="1">
      <alignment horizontal="center" vertical="center"/>
    </xf>
    <xf numFmtId="0" fontId="157" fillId="0" borderId="0" xfId="0" applyFont="1" applyFill="1" applyAlignment="1" applyProtection="1"/>
    <xf numFmtId="43" fontId="12" fillId="0" borderId="0" xfId="198" applyFont="1" applyFill="1" applyProtection="1"/>
    <xf numFmtId="173" fontId="12" fillId="0" borderId="0" xfId="198" applyNumberFormat="1" applyFont="1" applyFill="1" applyProtection="1"/>
    <xf numFmtId="0" fontId="118" fillId="0" borderId="0" xfId="0" applyFont="1" applyFill="1" applyProtection="1"/>
    <xf numFmtId="0" fontId="89" fillId="0" borderId="0" xfId="878" applyFont="1" applyFill="1" applyAlignment="1" applyProtection="1">
      <alignment horizontal="left"/>
    </xf>
    <xf numFmtId="0" fontId="11" fillId="0" borderId="0" xfId="0" applyFont="1" applyFill="1" applyProtection="1"/>
    <xf numFmtId="0" fontId="6" fillId="0" borderId="0" xfId="878" applyFont="1" applyFill="1" applyAlignment="1" applyProtection="1">
      <alignment horizontal="left"/>
    </xf>
    <xf numFmtId="0" fontId="9" fillId="0" borderId="11" xfId="0" applyFont="1" applyFill="1" applyBorder="1" applyAlignment="1" applyProtection="1">
      <alignment horizontal="center"/>
    </xf>
    <xf numFmtId="0" fontId="9" fillId="0" borderId="0" xfId="0" applyFont="1" applyFill="1" applyAlignment="1" applyProtection="1">
      <alignment horizontal="center"/>
    </xf>
    <xf numFmtId="173" fontId="9" fillId="0" borderId="11" xfId="198" applyNumberFormat="1" applyFont="1" applyFill="1" applyBorder="1" applyAlignment="1" applyProtection="1">
      <alignment horizontal="center"/>
    </xf>
    <xf numFmtId="0" fontId="9" fillId="0" borderId="11" xfId="0" applyFont="1" applyFill="1" applyBorder="1" applyAlignment="1" applyProtection="1">
      <alignment horizontal="center" wrapText="1"/>
    </xf>
    <xf numFmtId="0" fontId="84" fillId="27" borderId="0" xfId="0" applyFont="1" applyFill="1" applyBorder="1" applyProtection="1"/>
    <xf numFmtId="43" fontId="133" fillId="0" borderId="0" xfId="231" applyBorder="1" applyProtection="1"/>
    <xf numFmtId="0" fontId="84" fillId="27" borderId="0" xfId="0" applyFont="1" applyFill="1" applyProtection="1"/>
    <xf numFmtId="0" fontId="84" fillId="0" borderId="0" xfId="0" applyFont="1" applyFill="1" applyProtection="1"/>
    <xf numFmtId="37" fontId="84" fillId="27" borderId="0" xfId="0" applyNumberFormat="1" applyFont="1" applyFill="1" applyProtection="1"/>
    <xf numFmtId="37" fontId="84" fillId="27" borderId="0" xfId="0" applyNumberFormat="1" applyFont="1" applyFill="1" applyAlignment="1" applyProtection="1">
      <alignment horizontal="center"/>
    </xf>
    <xf numFmtId="37" fontId="12" fillId="0" borderId="0" xfId="275" applyNumberFormat="1" applyFont="1" applyFill="1" applyProtection="1"/>
    <xf numFmtId="37" fontId="9" fillId="0" borderId="0" xfId="198" applyNumberFormat="1" applyFont="1" applyFill="1" applyBorder="1" applyProtection="1"/>
    <xf numFmtId="43" fontId="12" fillId="0" borderId="0" xfId="275" applyFont="1" applyFill="1" applyBorder="1" applyProtection="1"/>
    <xf numFmtId="43" fontId="84" fillId="27" borderId="0" xfId="275" applyFont="1" applyFill="1" applyBorder="1" applyProtection="1"/>
    <xf numFmtId="43" fontId="84" fillId="27" borderId="0" xfId="275" applyFont="1" applyFill="1" applyBorder="1" applyAlignment="1" applyProtection="1">
      <alignment horizontal="center"/>
    </xf>
    <xf numFmtId="43" fontId="84" fillId="27" borderId="0" xfId="275" applyFont="1" applyFill="1" applyBorder="1" applyAlignment="1" applyProtection="1">
      <alignment horizontal="left"/>
    </xf>
    <xf numFmtId="173" fontId="84" fillId="27" borderId="0" xfId="275" applyNumberFormat="1" applyFont="1" applyFill="1" applyBorder="1" applyProtection="1"/>
    <xf numFmtId="43" fontId="84" fillId="27" borderId="0" xfId="198" applyFont="1" applyFill="1" applyBorder="1" applyProtection="1"/>
    <xf numFmtId="43" fontId="12" fillId="0" borderId="0" xfId="198" applyFont="1" applyFill="1" applyBorder="1" applyProtection="1"/>
    <xf numFmtId="43" fontId="84" fillId="27" borderId="0" xfId="198" applyFont="1" applyFill="1" applyBorder="1" applyAlignment="1" applyProtection="1">
      <alignment horizontal="center"/>
    </xf>
    <xf numFmtId="0" fontId="9" fillId="0" borderId="0" xfId="0" applyFont="1" applyFill="1" applyProtection="1"/>
    <xf numFmtId="37" fontId="9" fillId="0" borderId="14" xfId="198" applyNumberFormat="1" applyFont="1" applyFill="1" applyBorder="1" applyProtection="1"/>
    <xf numFmtId="0" fontId="12" fillId="0" borderId="0" xfId="0" quotePrefix="1" applyFont="1" applyFill="1" applyBorder="1" applyAlignment="1" applyProtection="1">
      <alignment horizontal="left" wrapText="1"/>
    </xf>
    <xf numFmtId="37" fontId="12" fillId="0" borderId="0" xfId="0" applyNumberFormat="1" applyFont="1" applyFill="1" applyAlignment="1" applyProtection="1">
      <alignment horizontal="left"/>
    </xf>
    <xf numFmtId="37" fontId="12" fillId="0" borderId="0" xfId="198" applyNumberFormat="1" applyFont="1" applyFill="1" applyProtection="1"/>
    <xf numFmtId="43" fontId="133" fillId="0" borderId="0" xfId="233" applyFill="1" applyBorder="1" applyProtection="1"/>
    <xf numFmtId="0" fontId="84" fillId="27" borderId="0" xfId="0" applyFont="1" applyFill="1" applyBorder="1" applyAlignment="1" applyProtection="1">
      <alignment horizontal="left"/>
    </xf>
    <xf numFmtId="43" fontId="156" fillId="0" borderId="0" xfId="235" applyFont="1" applyFill="1" applyBorder="1" applyProtection="1"/>
    <xf numFmtId="0" fontId="156" fillId="0" borderId="0" xfId="0" applyFont="1" applyFill="1" applyProtection="1"/>
    <xf numFmtId="37" fontId="156" fillId="0" borderId="0" xfId="0" applyNumberFormat="1" applyFont="1" applyFill="1" applyProtection="1"/>
    <xf numFmtId="37" fontId="156" fillId="0" borderId="0" xfId="275" applyNumberFormat="1" applyFont="1" applyFill="1" applyProtection="1"/>
    <xf numFmtId="0" fontId="84" fillId="0" borderId="0" xfId="0" applyFont="1" applyFill="1" applyBorder="1" applyProtection="1"/>
    <xf numFmtId="0" fontId="0" fillId="0" borderId="0" xfId="0" applyFill="1" applyBorder="1" applyProtection="1"/>
    <xf numFmtId="37" fontId="84" fillId="0" borderId="0" xfId="0" applyNumberFormat="1" applyFont="1" applyFill="1" applyProtection="1"/>
    <xf numFmtId="37" fontId="0" fillId="0" borderId="0" xfId="0" applyNumberFormat="1" applyFill="1" applyProtection="1"/>
    <xf numFmtId="0" fontId="84" fillId="27" borderId="0" xfId="0" applyFont="1" applyFill="1" applyAlignment="1" applyProtection="1">
      <alignment horizontal="left"/>
    </xf>
    <xf numFmtId="37" fontId="9" fillId="0" borderId="14" xfId="0" applyNumberFormat="1" applyFont="1" applyFill="1" applyBorder="1" applyProtection="1"/>
    <xf numFmtId="0" fontId="9" fillId="0" borderId="0" xfId="0" applyFont="1" applyFill="1" applyAlignment="1" applyProtection="1">
      <alignment horizontal="right"/>
    </xf>
    <xf numFmtId="37" fontId="9" fillId="0" borderId="0" xfId="0" applyNumberFormat="1" applyFont="1" applyFill="1" applyBorder="1" applyProtection="1"/>
    <xf numFmtId="173" fontId="12" fillId="0" borderId="0" xfId="0" applyNumberFormat="1" applyFont="1" applyFill="1" applyProtection="1"/>
    <xf numFmtId="43" fontId="133" fillId="0" borderId="0" xfId="235" applyFill="1" applyBorder="1" applyProtection="1"/>
    <xf numFmtId="37" fontId="84" fillId="0" borderId="0" xfId="0" applyNumberFormat="1" applyFont="1" applyFill="1" applyAlignment="1" applyProtection="1">
      <alignment horizontal="center"/>
    </xf>
    <xf numFmtId="0" fontId="156" fillId="27" borderId="0" xfId="0" applyFont="1" applyFill="1" applyBorder="1" applyAlignment="1" applyProtection="1">
      <alignment horizontal="left"/>
    </xf>
    <xf numFmtId="0" fontId="156" fillId="27" borderId="0" xfId="0" applyFont="1" applyFill="1" applyAlignment="1" applyProtection="1">
      <alignment horizontal="center"/>
    </xf>
    <xf numFmtId="0" fontId="156" fillId="27" borderId="0" xfId="0" applyFont="1" applyFill="1" applyProtection="1"/>
    <xf numFmtId="37" fontId="156" fillId="27" borderId="0" xfId="0" applyNumberFormat="1" applyFont="1" applyFill="1" applyProtection="1"/>
    <xf numFmtId="37" fontId="156" fillId="27" borderId="0" xfId="0" applyNumberFormat="1" applyFont="1" applyFill="1" applyAlignment="1" applyProtection="1">
      <alignment horizontal="center"/>
    </xf>
    <xf numFmtId="1" fontId="12" fillId="0" borderId="0" xfId="0" applyNumberFormat="1" applyFont="1" applyFill="1" applyAlignment="1" applyProtection="1">
      <alignment horizontal="left"/>
    </xf>
    <xf numFmtId="173" fontId="84" fillId="0" borderId="0" xfId="275" applyNumberFormat="1" applyFont="1" applyFill="1" applyBorder="1" applyProtection="1"/>
    <xf numFmtId="0" fontId="12" fillId="0" borderId="0" xfId="0" applyFont="1" applyFill="1" applyBorder="1" applyProtection="1"/>
    <xf numFmtId="173" fontId="12" fillId="0" borderId="0" xfId="198" applyNumberFormat="1" applyFont="1" applyFill="1" applyBorder="1" applyProtection="1"/>
    <xf numFmtId="0" fontId="8" fillId="0" borderId="0" xfId="0" quotePrefix="1" applyFont="1" applyFill="1" applyAlignment="1" applyProtection="1">
      <alignment horizontal="left"/>
    </xf>
    <xf numFmtId="37" fontId="96" fillId="0" borderId="0" xfId="311" applyNumberFormat="1" applyFill="1" applyProtection="1"/>
    <xf numFmtId="37" fontId="96" fillId="0" borderId="0" xfId="311" applyNumberFormat="1" applyFill="1" applyBorder="1" applyProtection="1"/>
    <xf numFmtId="43" fontId="4" fillId="0" borderId="0" xfId="198" applyBorder="1" applyProtection="1"/>
    <xf numFmtId="37" fontId="79" fillId="0" borderId="0" xfId="311" applyNumberFormat="1" applyFont="1" applyFill="1" applyProtection="1"/>
    <xf numFmtId="37" fontId="79" fillId="0" borderId="0" xfId="0" applyNumberFormat="1" applyFont="1" applyFill="1" applyProtection="1"/>
    <xf numFmtId="0" fontId="79" fillId="0" borderId="0" xfId="0" applyFont="1" applyFill="1" applyProtection="1"/>
    <xf numFmtId="37" fontId="12" fillId="0" borderId="0" xfId="0" applyNumberFormat="1" applyFont="1" applyFill="1" applyAlignment="1" applyProtection="1">
      <alignment horizontal="center"/>
    </xf>
    <xf numFmtId="0" fontId="117" fillId="0" borderId="0" xfId="0" applyFont="1" applyFill="1" applyAlignment="1" applyProtection="1">
      <alignment horizontal="center"/>
    </xf>
    <xf numFmtId="37" fontId="84" fillId="27" borderId="0" xfId="311" applyNumberFormat="1" applyFont="1" applyFill="1" applyProtection="1"/>
    <xf numFmtId="0" fontId="160" fillId="27" borderId="0" xfId="0" applyFont="1" applyFill="1" applyBorder="1" applyProtection="1"/>
    <xf numFmtId="43" fontId="160" fillId="0" borderId="0" xfId="235" applyFont="1" applyFill="1" applyBorder="1" applyProtection="1"/>
    <xf numFmtId="0" fontId="160" fillId="27" borderId="0" xfId="0" applyFont="1" applyFill="1" applyAlignment="1" applyProtection="1">
      <alignment horizontal="center"/>
    </xf>
    <xf numFmtId="0" fontId="160" fillId="0" borderId="0" xfId="0" applyFont="1" applyFill="1" applyProtection="1"/>
    <xf numFmtId="0" fontId="160" fillId="27" borderId="0" xfId="0" applyFont="1" applyFill="1" applyProtection="1"/>
    <xf numFmtId="37" fontId="160" fillId="27" borderId="0" xfId="0" applyNumberFormat="1" applyFont="1" applyFill="1" applyProtection="1"/>
    <xf numFmtId="37" fontId="160" fillId="27" borderId="0" xfId="0" applyNumberFormat="1" applyFont="1" applyFill="1" applyAlignment="1" applyProtection="1">
      <alignment horizontal="center"/>
    </xf>
    <xf numFmtId="37" fontId="160" fillId="0" borderId="0" xfId="275" applyNumberFormat="1" applyFont="1" applyFill="1" applyProtection="1"/>
    <xf numFmtId="43" fontId="84" fillId="27" borderId="0" xfId="0" applyNumberFormat="1" applyFont="1" applyFill="1" applyBorder="1" applyProtection="1"/>
    <xf numFmtId="37" fontId="84" fillId="27" borderId="0" xfId="0" applyNumberFormat="1" applyFont="1" applyFill="1" applyBorder="1" applyAlignment="1" applyProtection="1">
      <alignment horizontal="center"/>
    </xf>
    <xf numFmtId="0" fontId="12" fillId="0" borderId="0" xfId="0" quotePrefix="1" applyFont="1" applyFill="1" applyBorder="1" applyAlignment="1" applyProtection="1">
      <alignment horizontal="left"/>
    </xf>
    <xf numFmtId="0" fontId="160" fillId="27" borderId="0" xfId="0" applyFont="1" applyFill="1" applyBorder="1" applyAlignment="1" applyProtection="1">
      <alignment horizontal="left"/>
    </xf>
    <xf numFmtId="43" fontId="96" fillId="0" borderId="0" xfId="311" applyBorder="1" applyProtection="1"/>
    <xf numFmtId="0" fontId="84" fillId="27" borderId="0" xfId="0" applyFont="1" applyFill="1" applyBorder="1" applyAlignment="1" applyProtection="1"/>
    <xf numFmtId="37" fontId="12" fillId="0" borderId="0" xfId="198" applyNumberFormat="1" applyFont="1" applyFill="1" applyBorder="1" applyProtection="1"/>
    <xf numFmtId="0" fontId="18" fillId="0" borderId="0" xfId="0" applyFont="1" applyFill="1" applyAlignment="1" applyProtection="1">
      <alignment wrapText="1"/>
    </xf>
    <xf numFmtId="0" fontId="18" fillId="0" borderId="0" xfId="791" applyFont="1" applyFill="1" applyBorder="1" applyAlignment="1" applyProtection="1"/>
    <xf numFmtId="0" fontId="6" fillId="0" borderId="0" xfId="0" applyFont="1" applyFill="1" applyAlignment="1" applyProtection="1"/>
    <xf numFmtId="3" fontId="12" fillId="0" borderId="0" xfId="798" applyFont="1" applyFill="1" applyBorder="1" applyProtection="1"/>
    <xf numFmtId="3" fontId="12" fillId="0" borderId="0" xfId="798" applyFont="1" applyFill="1" applyBorder="1" applyAlignment="1" applyProtection="1">
      <alignment wrapText="1"/>
    </xf>
    <xf numFmtId="3" fontId="12" fillId="0" borderId="0" xfId="798" applyFont="1" applyFill="1" applyBorder="1" applyAlignment="1" applyProtection="1">
      <alignment horizontal="left" wrapText="1"/>
    </xf>
    <xf numFmtId="3" fontId="13" fillId="0" borderId="0" xfId="798" applyFont="1" applyFill="1" applyBorder="1" applyAlignment="1" applyProtection="1">
      <alignment horizontal="left"/>
    </xf>
    <xf numFmtId="3" fontId="12" fillId="0" borderId="0" xfId="798" applyFont="1" applyFill="1" applyBorder="1" applyAlignment="1" applyProtection="1">
      <alignment horizontal="center"/>
    </xf>
    <xf numFmtId="3" fontId="4" fillId="0" borderId="0" xfId="798" applyFont="1" applyFill="1" applyBorder="1" applyAlignment="1" applyProtection="1">
      <alignment horizontal="left"/>
    </xf>
    <xf numFmtId="3" fontId="12" fillId="0" borderId="0" xfId="798" applyFont="1" applyFill="1" applyBorder="1" applyAlignment="1" applyProtection="1">
      <alignment horizontal="left"/>
    </xf>
    <xf numFmtId="3" fontId="12" fillId="0" borderId="2" xfId="798" applyFont="1" applyFill="1" applyBorder="1" applyAlignment="1" applyProtection="1">
      <alignment horizontal="right" wrapText="1"/>
    </xf>
    <xf numFmtId="3" fontId="12" fillId="0" borderId="0" xfId="798" applyFont="1" applyFill="1" applyBorder="1" applyAlignment="1" applyProtection="1">
      <alignment horizontal="right" wrapText="1"/>
    </xf>
    <xf numFmtId="3" fontId="123" fillId="0" borderId="0" xfId="798" applyFont="1" applyFill="1" applyBorder="1" applyAlignment="1" applyProtection="1">
      <alignment horizontal="center" vertical="top" wrapText="1"/>
    </xf>
    <xf numFmtId="3" fontId="124" fillId="0" borderId="0" xfId="798" applyFont="1" applyFill="1" applyBorder="1" applyAlignment="1" applyProtection="1">
      <alignment horizontal="center" wrapText="1"/>
    </xf>
    <xf numFmtId="3" fontId="12" fillId="0" borderId="11" xfId="798" applyFont="1" applyFill="1" applyBorder="1" applyAlignment="1" applyProtection="1">
      <alignment horizontal="center" wrapText="1"/>
    </xf>
    <xf numFmtId="3" fontId="12" fillId="0" borderId="0" xfId="798" applyFont="1" applyFill="1" applyBorder="1" applyAlignment="1" applyProtection="1">
      <alignment horizontal="center" wrapText="1"/>
    </xf>
    <xf numFmtId="173" fontId="71" fillId="0" borderId="0" xfId="198" applyNumberFormat="1" applyFont="1" applyFill="1" applyBorder="1" applyAlignment="1" applyProtection="1">
      <alignment wrapText="1"/>
    </xf>
    <xf numFmtId="10" fontId="71" fillId="0" borderId="0" xfId="998" applyNumberFormat="1" applyFont="1" applyFill="1" applyBorder="1" applyAlignment="1" applyProtection="1">
      <alignment wrapText="1"/>
    </xf>
    <xf numFmtId="173" fontId="12" fillId="0" borderId="0" xfId="198" applyNumberFormat="1" applyFont="1" applyFill="1" applyBorder="1" applyAlignment="1" applyProtection="1">
      <alignment wrapText="1"/>
    </xf>
    <xf numFmtId="3" fontId="12" fillId="0" borderId="0" xfId="798" applyFont="1" applyFill="1" applyBorder="1" applyAlignment="1" applyProtection="1">
      <alignment vertical="top"/>
    </xf>
    <xf numFmtId="3" fontId="12" fillId="0" borderId="15" xfId="798" applyFont="1" applyFill="1" applyBorder="1" applyAlignment="1" applyProtection="1">
      <alignment vertical="top"/>
    </xf>
    <xf numFmtId="174" fontId="71" fillId="0" borderId="15" xfId="602" applyNumberFormat="1" applyFont="1" applyFill="1" applyBorder="1" applyAlignment="1" applyProtection="1">
      <alignment wrapText="1"/>
    </xf>
    <xf numFmtId="0" fontId="13" fillId="0" borderId="0" xfId="0" applyFont="1" applyAlignment="1" applyProtection="1">
      <alignment horizontal="center"/>
    </xf>
    <xf numFmtId="0" fontId="4" fillId="0" borderId="0" xfId="0" applyFont="1" applyAlignment="1" applyProtection="1">
      <alignment horizontal="center" vertical="top"/>
    </xf>
    <xf numFmtId="173" fontId="190" fillId="0" borderId="0" xfId="198" applyNumberFormat="1" applyFont="1" applyAlignment="1" applyProtection="1"/>
    <xf numFmtId="173" fontId="189" fillId="0" borderId="0" xfId="198" applyNumberFormat="1" applyFont="1" applyProtection="1"/>
    <xf numFmtId="186" fontId="189" fillId="0" borderId="0" xfId="198" applyNumberFormat="1" applyFont="1" applyProtection="1"/>
    <xf numFmtId="173" fontId="189" fillId="0" borderId="0" xfId="198" applyNumberFormat="1" applyFont="1" applyFill="1" applyBorder="1" applyAlignment="1" applyProtection="1">
      <alignment horizontal="center"/>
    </xf>
    <xf numFmtId="173" fontId="190" fillId="0" borderId="0" xfId="198" applyNumberFormat="1" applyFont="1" applyFill="1" applyAlignment="1" applyProtection="1"/>
    <xf numFmtId="186" fontId="190" fillId="0" borderId="0" xfId="198" applyNumberFormat="1" applyFont="1" applyFill="1" applyAlignment="1" applyProtection="1"/>
    <xf numFmtId="173" fontId="189" fillId="0" borderId="0" xfId="198" applyNumberFormat="1" applyFont="1" applyFill="1" applyBorder="1" applyProtection="1"/>
    <xf numFmtId="173" fontId="190" fillId="0" borderId="0" xfId="198" applyNumberFormat="1" applyFont="1" applyFill="1" applyBorder="1" applyAlignment="1" applyProtection="1"/>
    <xf numFmtId="186" fontId="190" fillId="0" borderId="0" xfId="198" applyNumberFormat="1" applyFont="1" applyFill="1" applyBorder="1" applyAlignment="1" applyProtection="1"/>
    <xf numFmtId="173" fontId="191" fillId="0" borderId="0" xfId="198" applyNumberFormat="1" applyFont="1" applyFill="1" applyBorder="1" applyAlignment="1" applyProtection="1"/>
    <xf numFmtId="186" fontId="191" fillId="0" borderId="0" xfId="198" applyNumberFormat="1" applyFont="1" applyFill="1" applyBorder="1" applyAlignment="1" applyProtection="1"/>
    <xf numFmtId="173" fontId="191" fillId="0" borderId="0" xfId="198" applyNumberFormat="1" applyFont="1" applyFill="1" applyAlignment="1" applyProtection="1"/>
    <xf numFmtId="186" fontId="191" fillId="0" borderId="0" xfId="198" applyNumberFormat="1" applyFont="1" applyFill="1" applyAlignment="1" applyProtection="1"/>
    <xf numFmtId="173" fontId="189" fillId="0" borderId="0" xfId="198" applyNumberFormat="1" applyFont="1" applyAlignment="1" applyProtection="1">
      <alignment horizontal="center"/>
    </xf>
    <xf numFmtId="173" fontId="192" fillId="0" borderId="0" xfId="198" applyNumberFormat="1" applyFont="1" applyFill="1" applyAlignment="1" applyProtection="1">
      <alignment horizontal="center" wrapText="1"/>
    </xf>
    <xf numFmtId="173" fontId="192" fillId="0" borderId="0" xfId="198" applyNumberFormat="1" applyFont="1" applyFill="1" applyAlignment="1" applyProtection="1">
      <alignment horizontal="center"/>
    </xf>
    <xf numFmtId="173" fontId="192" fillId="0" borderId="11" xfId="198" applyNumberFormat="1" applyFont="1" applyFill="1" applyBorder="1" applyAlignment="1" applyProtection="1">
      <alignment horizontal="center"/>
    </xf>
    <xf numFmtId="0" fontId="189" fillId="0" borderId="0" xfId="198" applyNumberFormat="1" applyFont="1" applyAlignment="1" applyProtection="1">
      <alignment horizontal="center"/>
    </xf>
    <xf numFmtId="173" fontId="193" fillId="0" borderId="11" xfId="198" applyNumberFormat="1" applyFont="1" applyBorder="1" applyProtection="1"/>
    <xf numFmtId="173" fontId="189" fillId="0" borderId="11" xfId="198" applyNumberFormat="1" applyFont="1" applyBorder="1" applyAlignment="1" applyProtection="1">
      <alignment horizontal="center"/>
    </xf>
    <xf numFmtId="0" fontId="189" fillId="27" borderId="14" xfId="198" applyNumberFormat="1" applyFont="1" applyFill="1" applyBorder="1" applyAlignment="1" applyProtection="1">
      <alignment horizontal="center"/>
    </xf>
    <xf numFmtId="173" fontId="189" fillId="0" borderId="0" xfId="198" applyNumberFormat="1" applyFont="1" applyBorder="1" applyAlignment="1" applyProtection="1">
      <alignment horizontal="left" wrapText="1"/>
    </xf>
    <xf numFmtId="173" fontId="189" fillId="27" borderId="0" xfId="198" applyNumberFormat="1" applyFont="1" applyFill="1" applyBorder="1" applyAlignment="1" applyProtection="1">
      <alignment horizontal="center"/>
    </xf>
    <xf numFmtId="173" fontId="4" fillId="27" borderId="0" xfId="198" applyNumberFormat="1" applyFont="1" applyFill="1" applyBorder="1" applyAlignment="1" applyProtection="1">
      <alignment horizontal="center"/>
    </xf>
    <xf numFmtId="173" fontId="4" fillId="0" borderId="0" xfId="198" applyNumberFormat="1" applyFont="1" applyFill="1" applyBorder="1" applyAlignment="1" applyProtection="1">
      <alignment horizontal="center"/>
    </xf>
    <xf numFmtId="173" fontId="189" fillId="0" borderId="2" xfId="198" applyNumberFormat="1" applyFont="1" applyBorder="1" applyAlignment="1" applyProtection="1">
      <alignment horizontal="left" wrapText="1"/>
    </xf>
    <xf numFmtId="173" fontId="189" fillId="0" borderId="2" xfId="198" applyNumberFormat="1" applyFont="1" applyBorder="1" applyAlignment="1" applyProtection="1">
      <alignment horizontal="center"/>
    </xf>
    <xf numFmtId="173" fontId="189" fillId="0" borderId="2" xfId="198" applyNumberFormat="1" applyFont="1" applyBorder="1" applyProtection="1"/>
    <xf numFmtId="173" fontId="189" fillId="0" borderId="0" xfId="198" applyNumberFormat="1" applyFont="1" applyBorder="1" applyAlignment="1" applyProtection="1">
      <alignment horizontal="left"/>
    </xf>
    <xf numFmtId="173" fontId="189" fillId="0" borderId="0" xfId="198" applyNumberFormat="1" applyFont="1" applyBorder="1" applyProtection="1"/>
    <xf numFmtId="0" fontId="189" fillId="27" borderId="11" xfId="198" applyNumberFormat="1" applyFont="1" applyFill="1" applyBorder="1" applyAlignment="1" applyProtection="1">
      <alignment horizontal="center"/>
    </xf>
    <xf numFmtId="0" fontId="189" fillId="0" borderId="0" xfId="0" applyFont="1" applyProtection="1"/>
    <xf numFmtId="173" fontId="189" fillId="0" borderId="0" xfId="198" applyNumberFormat="1" applyFont="1" applyFill="1" applyAlignment="1" applyProtection="1">
      <alignment horizontal="center"/>
    </xf>
    <xf numFmtId="173" fontId="189" fillId="0" borderId="2" xfId="198" applyNumberFormat="1" applyFont="1" applyFill="1" applyBorder="1" applyAlignment="1" applyProtection="1">
      <alignment horizontal="center"/>
    </xf>
    <xf numFmtId="173" fontId="189" fillId="0" borderId="11" xfId="198" applyNumberFormat="1" applyFont="1" applyBorder="1" applyProtection="1"/>
    <xf numFmtId="0" fontId="157" fillId="0" borderId="0" xfId="791" applyFont="1" applyFill="1" applyBorder="1" applyAlignment="1" applyProtection="1"/>
    <xf numFmtId="0" fontId="12" fillId="0" borderId="0" xfId="791" applyFont="1" applyFill="1" applyBorder="1" applyProtection="1"/>
    <xf numFmtId="0" fontId="54" fillId="0" borderId="0" xfId="791" applyFont="1" applyFill="1" applyBorder="1" applyProtection="1"/>
    <xf numFmtId="0" fontId="7" fillId="0" borderId="0" xfId="0" applyFont="1" applyFill="1" applyAlignment="1" applyProtection="1">
      <alignment horizontal="center"/>
    </xf>
    <xf numFmtId="49" fontId="7" fillId="0" borderId="0" xfId="878" applyNumberFormat="1" applyFont="1" applyFill="1" applyAlignment="1" applyProtection="1">
      <alignment horizontal="center"/>
    </xf>
    <xf numFmtId="0" fontId="7" fillId="0" borderId="0" xfId="791" applyFont="1" applyFill="1" applyBorder="1" applyAlignment="1" applyProtection="1">
      <alignment horizontal="center"/>
    </xf>
    <xf numFmtId="0" fontId="12" fillId="0" borderId="0" xfId="0" applyFont="1" applyFill="1" applyAlignment="1" applyProtection="1"/>
    <xf numFmtId="0" fontId="12" fillId="0" borderId="0" xfId="791" applyFont="1" applyFill="1" applyBorder="1" applyAlignment="1" applyProtection="1"/>
    <xf numFmtId="0" fontId="9" fillId="0" borderId="0" xfId="791" applyFont="1" applyFill="1" applyBorder="1" applyAlignment="1" applyProtection="1">
      <alignment horizontal="center"/>
    </xf>
    <xf numFmtId="0" fontId="9" fillId="0" borderId="0" xfId="791" applyFont="1" applyFill="1" applyBorder="1" applyAlignment="1" applyProtection="1">
      <alignment horizontal="left"/>
    </xf>
    <xf numFmtId="0" fontId="17" fillId="0" borderId="0" xfId="878" applyFont="1" applyFill="1" applyAlignment="1" applyProtection="1">
      <alignment horizontal="center"/>
    </xf>
    <xf numFmtId="0" fontId="9" fillId="0" borderId="0" xfId="791" applyNumberFormat="1" applyFont="1" applyFill="1" applyBorder="1" applyAlignment="1" applyProtection="1">
      <alignment horizontal="left"/>
    </xf>
    <xf numFmtId="0" fontId="9" fillId="0" borderId="0" xfId="791" applyFont="1" applyFill="1" applyBorder="1" applyAlignment="1" applyProtection="1"/>
    <xf numFmtId="0" fontId="13" fillId="0" borderId="0" xfId="0" applyFont="1" applyFill="1" applyBorder="1" applyProtection="1"/>
    <xf numFmtId="3" fontId="13" fillId="0" borderId="0" xfId="791" applyNumberFormat="1" applyFont="1" applyFill="1" applyBorder="1" applyAlignment="1" applyProtection="1">
      <alignment horizontal="center"/>
    </xf>
    <xf numFmtId="0" fontId="9" fillId="0" borderId="0" xfId="791" applyNumberFormat="1" applyFont="1" applyFill="1" applyBorder="1" applyAlignment="1" applyProtection="1">
      <alignment horizontal="center"/>
    </xf>
    <xf numFmtId="0" fontId="12" fillId="0" borderId="0" xfId="791" applyFont="1" applyFill="1" applyBorder="1" applyAlignment="1" applyProtection="1">
      <alignment horizontal="center" wrapText="1"/>
    </xf>
    <xf numFmtId="0" fontId="17" fillId="0" borderId="0" xfId="878" applyFont="1" applyFill="1" applyAlignment="1" applyProtection="1">
      <alignment horizontal="center" wrapText="1"/>
    </xf>
    <xf numFmtId="0" fontId="12" fillId="0" borderId="0" xfId="791" applyNumberFormat="1" applyFont="1" applyFill="1" applyBorder="1" applyAlignment="1" applyProtection="1">
      <alignment horizontal="center"/>
    </xf>
    <xf numFmtId="0" fontId="17" fillId="0" borderId="0" xfId="791" applyFont="1" applyFill="1" applyBorder="1" applyAlignment="1" applyProtection="1">
      <alignment horizontal="center"/>
    </xf>
    <xf numFmtId="173" fontId="13" fillId="0" borderId="0" xfId="276" applyNumberFormat="1" applyFont="1" applyFill="1" applyBorder="1" applyAlignment="1" applyProtection="1">
      <alignment horizontal="right"/>
    </xf>
    <xf numFmtId="173" fontId="12" fillId="0" borderId="0" xfId="276" applyNumberFormat="1" applyFont="1" applyFill="1" applyBorder="1" applyAlignment="1" applyProtection="1">
      <alignment horizontal="left"/>
    </xf>
    <xf numFmtId="0" fontId="17" fillId="0" borderId="0" xfId="791" applyFont="1" applyFill="1" applyBorder="1" applyAlignment="1" applyProtection="1">
      <alignment horizontal="center" wrapText="1"/>
    </xf>
    <xf numFmtId="0" fontId="12" fillId="0" borderId="14" xfId="791" applyFont="1" applyFill="1" applyBorder="1" applyAlignment="1" applyProtection="1">
      <alignment horizontal="center" wrapText="1"/>
    </xf>
    <xf numFmtId="173" fontId="12" fillId="0" borderId="0" xfId="276" applyNumberFormat="1" applyFont="1" applyFill="1" applyBorder="1" applyAlignment="1" applyProtection="1">
      <alignment horizontal="right"/>
    </xf>
    <xf numFmtId="38" fontId="12" fillId="0" borderId="0" xfId="0" applyNumberFormat="1" applyFont="1" applyFill="1" applyBorder="1" applyAlignment="1" applyProtection="1"/>
    <xf numFmtId="173" fontId="12" fillId="0" borderId="0" xfId="198" applyNumberFormat="1" applyFont="1" applyFill="1" applyBorder="1" applyAlignment="1" applyProtection="1">
      <alignment horizontal="center" wrapText="1"/>
    </xf>
    <xf numFmtId="3" fontId="4" fillId="0" borderId="0" xfId="791" applyNumberFormat="1" applyFont="1" applyFill="1" applyBorder="1" applyAlignment="1" applyProtection="1"/>
    <xf numFmtId="37" fontId="96" fillId="0" borderId="0" xfId="311" applyNumberFormat="1" applyProtection="1"/>
    <xf numFmtId="3" fontId="12" fillId="0" borderId="0" xfId="791" applyNumberFormat="1" applyFont="1" applyFill="1" applyBorder="1" applyAlignment="1" applyProtection="1"/>
    <xf numFmtId="173" fontId="12" fillId="0" borderId="0" xfId="198" applyNumberFormat="1" applyFont="1" applyFill="1" applyBorder="1" applyAlignment="1" applyProtection="1"/>
    <xf numFmtId="37" fontId="84" fillId="66" borderId="0" xfId="0" applyNumberFormat="1" applyFont="1" applyFill="1" applyProtection="1"/>
    <xf numFmtId="173" fontId="84" fillId="66" borderId="0" xfId="275" applyNumberFormat="1" applyFont="1" applyFill="1" applyBorder="1" applyProtection="1"/>
    <xf numFmtId="38" fontId="4" fillId="0" borderId="0" xfId="0" applyNumberFormat="1" applyFont="1" applyFill="1" applyBorder="1" applyAlignment="1" applyProtection="1"/>
    <xf numFmtId="0" fontId="9" fillId="0" borderId="0" xfId="878" applyFont="1" applyFill="1" applyAlignment="1" applyProtection="1">
      <alignment horizontal="center"/>
    </xf>
    <xf numFmtId="9" fontId="9" fillId="0" borderId="0" xfId="878" quotePrefix="1" applyNumberFormat="1" applyFont="1" applyFill="1" applyAlignment="1" applyProtection="1">
      <alignment horizontal="center"/>
    </xf>
    <xf numFmtId="0" fontId="12" fillId="0" borderId="0" xfId="878" applyFont="1" applyFill="1" applyAlignment="1" applyProtection="1">
      <alignment horizontal="left"/>
    </xf>
    <xf numFmtId="0" fontId="78" fillId="0" borderId="0" xfId="878" applyFont="1" applyFill="1" applyBorder="1" applyProtection="1"/>
    <xf numFmtId="0" fontId="12" fillId="0" borderId="0" xfId="791" applyFont="1" applyFill="1" applyBorder="1" applyAlignment="1" applyProtection="1">
      <alignment horizontal="left"/>
    </xf>
    <xf numFmtId="0" fontId="12" fillId="0" borderId="0" xfId="0" applyFont="1" applyFill="1" applyAlignment="1" applyProtection="1">
      <alignment horizontal="center"/>
    </xf>
    <xf numFmtId="3" fontId="84" fillId="27" borderId="0" xfId="0" applyNumberFormat="1" applyFont="1" applyFill="1" applyProtection="1"/>
    <xf numFmtId="37" fontId="4" fillId="0" borderId="0" xfId="311" applyNumberFormat="1" applyFont="1" applyProtection="1"/>
    <xf numFmtId="37" fontId="12" fillId="0" borderId="0" xfId="791" applyNumberFormat="1" applyFont="1" applyBorder="1" applyProtection="1"/>
    <xf numFmtId="37" fontId="84" fillId="27" borderId="0" xfId="276" applyNumberFormat="1" applyFont="1" applyFill="1" applyProtection="1"/>
    <xf numFmtId="0" fontId="84" fillId="27" borderId="0" xfId="0" quotePrefix="1" applyFont="1" applyFill="1" applyAlignment="1" applyProtection="1">
      <alignment horizontal="left" wrapText="1"/>
    </xf>
    <xf numFmtId="3" fontId="84" fillId="27" borderId="0" xfId="0" quotePrefix="1" applyNumberFormat="1" applyFont="1" applyFill="1" applyProtection="1"/>
    <xf numFmtId="0" fontId="84" fillId="27" borderId="0" xfId="0" applyNumberFormat="1" applyFont="1" applyFill="1" applyAlignment="1" applyProtection="1">
      <alignment horizontal="left"/>
    </xf>
    <xf numFmtId="37" fontId="12" fillId="0" borderId="0" xfId="311" applyNumberFormat="1" applyFont="1" applyFill="1" applyProtection="1"/>
    <xf numFmtId="37" fontId="12" fillId="0" borderId="0" xfId="791" applyNumberFormat="1" applyFont="1" applyFill="1" applyBorder="1" applyProtection="1"/>
    <xf numFmtId="37" fontId="84" fillId="0" borderId="0" xfId="276" applyNumberFormat="1" applyFont="1" applyFill="1" applyProtection="1"/>
    <xf numFmtId="49" fontId="84" fillId="27" borderId="0" xfId="0" applyNumberFormat="1" applyFont="1" applyFill="1" applyProtection="1"/>
    <xf numFmtId="0" fontId="12" fillId="0" borderId="0" xfId="791" applyFont="1" applyBorder="1" applyProtection="1"/>
    <xf numFmtId="0" fontId="84" fillId="27" borderId="0" xfId="0" applyFont="1" applyFill="1" applyAlignment="1" applyProtection="1">
      <alignment wrapText="1"/>
    </xf>
    <xf numFmtId="3" fontId="84" fillId="27" borderId="0" xfId="0" applyNumberFormat="1" applyFont="1" applyFill="1" applyAlignment="1" applyProtection="1">
      <alignment horizontal="left"/>
    </xf>
    <xf numFmtId="49" fontId="156" fillId="27" borderId="0" xfId="0" applyNumberFormat="1" applyFont="1" applyFill="1" applyProtection="1"/>
    <xf numFmtId="3" fontId="156" fillId="27" borderId="0" xfId="0" applyNumberFormat="1" applyFont="1" applyFill="1" applyProtection="1"/>
    <xf numFmtId="37" fontId="156" fillId="0" borderId="0" xfId="791" applyNumberFormat="1" applyFont="1" applyBorder="1" applyProtection="1"/>
    <xf numFmtId="37" fontId="156" fillId="0" borderId="0" xfId="311" applyNumberFormat="1" applyFont="1" applyFill="1" applyProtection="1"/>
    <xf numFmtId="37" fontId="156" fillId="0" borderId="0" xfId="791" applyNumberFormat="1" applyFont="1" applyFill="1" applyBorder="1" applyProtection="1"/>
    <xf numFmtId="37" fontId="156" fillId="66" borderId="0" xfId="0" applyNumberFormat="1" applyFont="1" applyFill="1" applyProtection="1"/>
    <xf numFmtId="37" fontId="96" fillId="0" borderId="0" xfId="311" applyNumberFormat="1" applyFont="1" applyFill="1" applyProtection="1"/>
    <xf numFmtId="3" fontId="83" fillId="0" borderId="0" xfId="0" applyNumberFormat="1" applyFont="1" applyFill="1" applyProtection="1"/>
    <xf numFmtId="173" fontId="83" fillId="0" borderId="0" xfId="275" applyNumberFormat="1" applyFont="1" applyFill="1" applyProtection="1"/>
    <xf numFmtId="37" fontId="83" fillId="0" borderId="0" xfId="275" applyNumberFormat="1" applyFont="1" applyFill="1" applyProtection="1"/>
    <xf numFmtId="37" fontId="83" fillId="0" borderId="0" xfId="791" applyNumberFormat="1" applyFont="1" applyFill="1" applyBorder="1" applyProtection="1"/>
    <xf numFmtId="0" fontId="83" fillId="0" borderId="0" xfId="0" applyFont="1" applyFill="1" applyProtection="1"/>
    <xf numFmtId="0" fontId="9" fillId="0" borderId="0" xfId="878"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173" fontId="12" fillId="0" borderId="17" xfId="198" applyNumberFormat="1" applyFont="1" applyFill="1" applyBorder="1" applyProtection="1"/>
    <xf numFmtId="38" fontId="12" fillId="0" borderId="0" xfId="0" quotePrefix="1" applyNumberFormat="1" applyFont="1" applyFill="1" applyBorder="1" applyAlignment="1" applyProtection="1">
      <alignment horizontal="right"/>
    </xf>
    <xf numFmtId="37" fontId="12" fillId="0" borderId="0" xfId="0" applyNumberFormat="1" applyFont="1" applyFill="1" applyBorder="1" applyProtection="1"/>
    <xf numFmtId="0" fontId="4" fillId="0" borderId="0" xfId="791" applyNumberFormat="1" applyFont="1" applyFill="1" applyBorder="1" applyAlignment="1" applyProtection="1">
      <alignment horizontal="center" vertical="top"/>
    </xf>
    <xf numFmtId="0" fontId="4" fillId="0" borderId="0" xfId="791" applyFont="1" applyFill="1" applyBorder="1" applyProtection="1"/>
    <xf numFmtId="0" fontId="12" fillId="0" borderId="0" xfId="791" applyFont="1" applyFill="1" applyBorder="1" applyAlignment="1" applyProtection="1">
      <alignment horizontal="center"/>
    </xf>
    <xf numFmtId="0" fontId="17" fillId="0" borderId="0" xfId="0" applyFont="1" applyFill="1" applyAlignment="1" applyProtection="1">
      <alignment horizontal="center"/>
    </xf>
    <xf numFmtId="0" fontId="79" fillId="0" borderId="0" xfId="0" applyFont="1" applyFill="1" applyAlignment="1" applyProtection="1">
      <alignment horizontal="center"/>
    </xf>
    <xf numFmtId="0" fontId="12" fillId="0" borderId="0" xfId="0" applyFont="1" applyFill="1" applyAlignment="1" applyProtection="1">
      <alignment horizontal="left"/>
    </xf>
    <xf numFmtId="0" fontId="12" fillId="0" borderId="0" xfId="0" quotePrefix="1" applyFont="1" applyFill="1" applyAlignment="1" applyProtection="1">
      <alignment horizontal="left"/>
    </xf>
    <xf numFmtId="0" fontId="13" fillId="0" borderId="0" xfId="0" quotePrefix="1" applyFont="1" applyFill="1" applyAlignment="1" applyProtection="1">
      <alignment horizontal="left"/>
    </xf>
    <xf numFmtId="173" fontId="12" fillId="0" borderId="11" xfId="0" applyNumberFormat="1" applyFont="1" applyFill="1" applyBorder="1" applyProtection="1"/>
    <xf numFmtId="173" fontId="12" fillId="0" borderId="14" xfId="0" applyNumberFormat="1" applyFont="1" applyFill="1" applyBorder="1" applyProtection="1"/>
    <xf numFmtId="174" fontId="12" fillId="0" borderId="0" xfId="198" applyNumberFormat="1" applyFont="1" applyFill="1" applyProtection="1"/>
    <xf numFmtId="174" fontId="12" fillId="0" borderId="0" xfId="0" applyNumberFormat="1" applyFont="1" applyFill="1" applyProtection="1"/>
    <xf numFmtId="0" fontId="9" fillId="0" borderId="0" xfId="0" quotePrefix="1" applyFont="1" applyFill="1" applyAlignment="1" applyProtection="1">
      <alignment horizontal="left"/>
    </xf>
    <xf numFmtId="0" fontId="6" fillId="0" borderId="0" xfId="0" applyFont="1" applyFill="1" applyProtection="1"/>
    <xf numFmtId="0" fontId="17" fillId="0" borderId="0" xfId="879" applyFont="1" applyAlignment="1" applyProtection="1">
      <alignment horizontal="center"/>
    </xf>
    <xf numFmtId="0" fontId="57" fillId="0" borderId="0" xfId="0" applyFont="1" applyFill="1" applyProtection="1"/>
    <xf numFmtId="0" fontId="12" fillId="0" borderId="0" xfId="0" applyFont="1" applyFill="1" applyAlignment="1" applyProtection="1">
      <alignment wrapText="1"/>
    </xf>
    <xf numFmtId="0" fontId="8" fillId="0" borderId="0" xfId="0" applyFont="1" applyFill="1" applyAlignment="1" applyProtection="1">
      <alignment horizontal="left"/>
    </xf>
    <xf numFmtId="0" fontId="17" fillId="0" borderId="0" xfId="0" quotePrefix="1" applyFont="1" applyFill="1" applyAlignment="1" applyProtection="1">
      <alignment horizontal="left"/>
    </xf>
    <xf numFmtId="3" fontId="12" fillId="0" borderId="0" xfId="881" applyNumberFormat="1" applyFont="1" applyFill="1" applyAlignment="1" applyProtection="1"/>
    <xf numFmtId="10" fontId="12" fillId="0" borderId="0" xfId="881" applyNumberFormat="1" applyFont="1" applyFill="1" applyAlignment="1" applyProtection="1"/>
    <xf numFmtId="167" fontId="12" fillId="0" borderId="0" xfId="881" applyNumberFormat="1" applyFont="1" applyFill="1" applyAlignment="1" applyProtection="1"/>
    <xf numFmtId="43" fontId="12" fillId="0" borderId="0" xfId="198" applyFont="1" applyFill="1" applyAlignment="1" applyProtection="1"/>
    <xf numFmtId="172" fontId="12" fillId="0" borderId="0" xfId="881" applyFont="1" applyFill="1" applyBorder="1" applyAlignment="1" applyProtection="1"/>
    <xf numFmtId="0" fontId="12" fillId="0" borderId="18" xfId="0" quotePrefix="1" applyFont="1" applyFill="1" applyBorder="1" applyAlignment="1" applyProtection="1">
      <alignment horizontal="left"/>
    </xf>
    <xf numFmtId="0" fontId="12" fillId="0" borderId="21" xfId="0" applyFont="1" applyFill="1" applyBorder="1" applyProtection="1"/>
    <xf numFmtId="0" fontId="9" fillId="0" borderId="0" xfId="0" applyFont="1" applyFill="1" applyBorder="1" applyProtection="1"/>
    <xf numFmtId="173" fontId="54" fillId="27" borderId="0" xfId="198" applyNumberFormat="1" applyFont="1" applyFill="1" applyBorder="1" applyProtection="1"/>
    <xf numFmtId="0" fontId="12" fillId="0" borderId="0" xfId="198" applyNumberFormat="1" applyFont="1" applyFill="1" applyAlignment="1" applyProtection="1"/>
    <xf numFmtId="0" fontId="116" fillId="0" borderId="32" xfId="0" quotePrefix="1" applyFont="1" applyFill="1" applyBorder="1" applyAlignment="1" applyProtection="1">
      <alignment horizontal="right"/>
    </xf>
    <xf numFmtId="0" fontId="12" fillId="0" borderId="20" xfId="0" applyFont="1" applyFill="1" applyBorder="1" applyProtection="1"/>
    <xf numFmtId="10" fontId="12" fillId="0" borderId="0" xfId="881" applyNumberFormat="1" applyFont="1" applyFill="1" applyAlignment="1" applyProtection="1">
      <alignment horizontal="right"/>
    </xf>
    <xf numFmtId="3" fontId="9" fillId="0" borderId="0" xfId="881" applyNumberFormat="1" applyFont="1" applyFill="1" applyAlignment="1" applyProtection="1"/>
    <xf numFmtId="172" fontId="12" fillId="0" borderId="0" xfId="881" applyFont="1" applyFill="1" applyAlignment="1" applyProtection="1"/>
    <xf numFmtId="10" fontId="12" fillId="0" borderId="0" xfId="0" applyNumberFormat="1" applyFont="1" applyFill="1" applyProtection="1"/>
    <xf numFmtId="0" fontId="12" fillId="0" borderId="0" xfId="0" applyNumberFormat="1" applyFont="1" applyFill="1" applyAlignment="1" applyProtection="1">
      <alignment horizontal="center"/>
    </xf>
    <xf numFmtId="0" fontId="12" fillId="0" borderId="0" xfId="881" quotePrefix="1" applyNumberFormat="1" applyFont="1" applyFill="1" applyBorder="1" applyAlignment="1" applyProtection="1">
      <alignment horizontal="left"/>
    </xf>
    <xf numFmtId="173" fontId="116" fillId="0" borderId="32" xfId="198" applyNumberFormat="1" applyFont="1" applyFill="1" applyBorder="1" applyProtection="1"/>
    <xf numFmtId="3" fontId="13" fillId="0" borderId="0" xfId="881" applyNumberFormat="1" applyFont="1" applyFill="1" applyAlignment="1" applyProtection="1">
      <alignment horizontal="center"/>
    </xf>
    <xf numFmtId="10" fontId="13" fillId="0" borderId="0" xfId="881" applyNumberFormat="1" applyFont="1" applyFill="1" applyAlignment="1" applyProtection="1">
      <alignment horizontal="center"/>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175" fontId="116" fillId="0" borderId="32" xfId="899" applyNumberFormat="1" applyFont="1" applyFill="1" applyBorder="1" applyProtection="1"/>
    <xf numFmtId="0" fontId="12" fillId="0" borderId="22" xfId="0" applyFont="1" applyFill="1" applyBorder="1" applyProtection="1"/>
    <xf numFmtId="0" fontId="12" fillId="0" borderId="0" xfId="881" applyNumberFormat="1" applyFont="1" applyFill="1" applyBorder="1" applyAlignment="1" applyProtection="1">
      <alignment horizontal="right"/>
    </xf>
    <xf numFmtId="10" fontId="12" fillId="0" borderId="0" xfId="0" applyNumberFormat="1" applyFont="1" applyFill="1" applyAlignment="1" applyProtection="1">
      <alignment horizontal="center"/>
    </xf>
    <xf numFmtId="10" fontId="12" fillId="0" borderId="0" xfId="899" applyNumberFormat="1" applyFont="1" applyFill="1" applyAlignment="1" applyProtection="1">
      <alignment horizontal="center"/>
    </xf>
    <xf numFmtId="10" fontId="12" fillId="0" borderId="0" xfId="899" applyNumberFormat="1" applyFont="1" applyFill="1" applyAlignment="1" applyProtection="1"/>
    <xf numFmtId="169" fontId="12" fillId="0" borderId="0" xfId="881" applyNumberFormat="1" applyFont="1" applyFill="1" applyAlignment="1" applyProtection="1"/>
    <xf numFmtId="0" fontId="12" fillId="0" borderId="19" xfId="0" applyFont="1" applyFill="1" applyBorder="1" applyAlignment="1" applyProtection="1">
      <alignment wrapText="1"/>
    </xf>
    <xf numFmtId="0" fontId="12" fillId="0" borderId="0" xfId="0" applyFont="1" applyFill="1" applyBorder="1" applyAlignment="1" applyProtection="1">
      <alignment wrapText="1"/>
    </xf>
    <xf numFmtId="0" fontId="12" fillId="0" borderId="20" xfId="0" applyFont="1" applyFill="1" applyBorder="1" applyAlignment="1" applyProtection="1">
      <alignment wrapText="1"/>
    </xf>
    <xf numFmtId="166" fontId="12" fillId="0" borderId="0" xfId="881" applyNumberFormat="1" applyFont="1" applyFill="1" applyBorder="1" applyAlignment="1" applyProtection="1">
      <alignment horizontal="center"/>
    </xf>
    <xf numFmtId="41" fontId="12" fillId="0" borderId="0" xfId="881" applyNumberFormat="1" applyFont="1" applyFill="1" applyAlignment="1" applyProtection="1"/>
    <xf numFmtId="172" fontId="12" fillId="0" borderId="19" xfId="881" applyFont="1" applyFill="1" applyBorder="1" applyAlignment="1" applyProtection="1"/>
    <xf numFmtId="0" fontId="12" fillId="0" borderId="0" xfId="881" applyNumberFormat="1" applyFont="1" applyFill="1" applyBorder="1" applyAlignment="1" applyProtection="1">
      <alignment horizontal="center"/>
    </xf>
    <xf numFmtId="3" fontId="12" fillId="0" borderId="20" xfId="881" applyNumberFormat="1" applyFont="1" applyFill="1" applyBorder="1" applyAlignment="1" applyProtection="1"/>
    <xf numFmtId="41" fontId="12" fillId="0" borderId="0" xfId="881" applyNumberFormat="1" applyFont="1" applyFill="1" applyBorder="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2" fillId="0" borderId="19" xfId="0" applyFont="1" applyFill="1" applyBorder="1" applyProtection="1"/>
    <xf numFmtId="3" fontId="12" fillId="0" borderId="0" xfId="881" applyNumberFormat="1" applyFont="1" applyFill="1" applyAlignment="1" applyProtection="1">
      <alignment horizontal="right"/>
    </xf>
    <xf numFmtId="178" fontId="12" fillId="0" borderId="0" xfId="881" applyNumberFormat="1" applyFont="1" applyFill="1" applyAlignment="1" applyProtection="1"/>
    <xf numFmtId="166" fontId="12" fillId="0" borderId="34" xfId="881" applyNumberFormat="1" applyFont="1" applyFill="1" applyBorder="1" applyAlignment="1" applyProtection="1">
      <alignment horizontal="left"/>
    </xf>
    <xf numFmtId="0" fontId="12" fillId="0" borderId="6" xfId="881" applyNumberFormat="1" applyFont="1" applyFill="1" applyBorder="1" applyAlignment="1" applyProtection="1">
      <alignment horizontal="center"/>
    </xf>
    <xf numFmtId="173" fontId="12" fillId="0" borderId="6" xfId="881" applyNumberFormat="1" applyFont="1" applyFill="1" applyBorder="1" applyAlignment="1" applyProtection="1">
      <alignment horizontal="center"/>
    </xf>
    <xf numFmtId="174" fontId="12" fillId="0" borderId="27" xfId="0" applyNumberFormat="1" applyFont="1" applyFill="1" applyBorder="1" applyProtection="1"/>
    <xf numFmtId="0" fontId="12" fillId="0" borderId="23" xfId="0" applyFont="1" applyFill="1" applyBorder="1" applyProtection="1"/>
    <xf numFmtId="10" fontId="12" fillId="0" borderId="0" xfId="881" applyNumberFormat="1" applyFont="1" applyFill="1" applyAlignment="1" applyProtection="1">
      <alignment horizontal="left"/>
    </xf>
    <xf numFmtId="0" fontId="125" fillId="0" borderId="0" xfId="0" applyFont="1" applyFill="1" applyProtection="1"/>
    <xf numFmtId="41" fontId="12" fillId="0" borderId="0" xfId="881" applyNumberFormat="1" applyFont="1" applyFill="1" applyBorder="1" applyAlignment="1" applyProtection="1"/>
    <xf numFmtId="41" fontId="116" fillId="0" borderId="32" xfId="0" applyNumberFormat="1" applyFont="1" applyFill="1" applyBorder="1" applyProtection="1"/>
    <xf numFmtId="3" fontId="12" fillId="0" borderId="24" xfId="0" applyNumberFormat="1" applyFont="1" applyFill="1" applyBorder="1" applyProtection="1"/>
    <xf numFmtId="0" fontId="126" fillId="0" borderId="0" xfId="0" applyFont="1" applyFill="1" applyProtection="1"/>
    <xf numFmtId="10" fontId="116" fillId="0" borderId="19" xfId="0" applyNumberFormat="1" applyFont="1" applyFill="1" applyBorder="1" applyProtection="1"/>
    <xf numFmtId="41" fontId="116" fillId="0" borderId="19" xfId="0" applyNumberFormat="1" applyFont="1" applyFill="1" applyBorder="1" applyProtection="1"/>
    <xf numFmtId="41" fontId="12" fillId="0" borderId="0" xfId="881" quotePrefix="1" applyNumberFormat="1" applyFont="1" applyFill="1" applyBorder="1" applyAlignment="1" applyProtection="1"/>
    <xf numFmtId="41" fontId="12" fillId="0" borderId="0" xfId="881" applyNumberFormat="1" applyFont="1" applyFill="1" applyBorder="1" applyAlignment="1" applyProtection="1">
      <alignment horizontal="right"/>
    </xf>
    <xf numFmtId="177" fontId="12" fillId="0" borderId="11" xfId="881" applyNumberFormat="1" applyFont="1" applyFill="1" applyBorder="1" applyAlignment="1" applyProtection="1"/>
    <xf numFmtId="164" fontId="12" fillId="0" borderId="0" xfId="881" applyNumberFormat="1" applyFont="1" applyFill="1" applyBorder="1" applyAlignment="1" applyProtection="1">
      <alignment horizontal="left"/>
    </xf>
    <xf numFmtId="41" fontId="12" fillId="0" borderId="0" xfId="881" applyNumberFormat="1" applyFont="1" applyFill="1" applyAlignment="1" applyProtection="1">
      <alignment horizontal="center"/>
    </xf>
    <xf numFmtId="41" fontId="11" fillId="0" borderId="0" xfId="881" quotePrefix="1" applyNumberFormat="1" applyFont="1" applyFill="1" applyBorder="1" applyAlignment="1" applyProtection="1">
      <alignment horizontal="right" vertical="center"/>
    </xf>
    <xf numFmtId="41" fontId="11" fillId="0" borderId="0" xfId="881" quotePrefix="1" applyNumberFormat="1" applyFont="1" applyFill="1" applyBorder="1" applyAlignment="1" applyProtection="1">
      <alignment horizontal="left" vertical="center"/>
    </xf>
    <xf numFmtId="41" fontId="79" fillId="0" borderId="0" xfId="881" applyNumberFormat="1" applyFont="1" applyFill="1" applyBorder="1" applyAlignment="1" applyProtection="1">
      <alignment horizontal="center" vertical="center"/>
    </xf>
    <xf numFmtId="41" fontId="77" fillId="0" borderId="0" xfId="881" applyNumberFormat="1" applyFont="1" applyFill="1" applyBorder="1" applyAlignment="1" applyProtection="1"/>
    <xf numFmtId="3" fontId="12" fillId="0" borderId="0" xfId="881" applyNumberFormat="1" applyFont="1" applyFill="1" applyAlignment="1" applyProtection="1">
      <alignment vertical="center" wrapText="1"/>
    </xf>
    <xf numFmtId="41" fontId="12" fillId="0" borderId="0" xfId="881" applyNumberFormat="1" applyFont="1" applyFill="1" applyBorder="1" applyAlignment="1" applyProtection="1">
      <alignment vertical="center"/>
    </xf>
    <xf numFmtId="41" fontId="6" fillId="0" borderId="0" xfId="881" quotePrefix="1" applyNumberFormat="1" applyFont="1" applyFill="1" applyBorder="1" applyAlignment="1" applyProtection="1">
      <alignment horizontal="left"/>
    </xf>
    <xf numFmtId="41" fontId="79" fillId="0" borderId="0" xfId="881" applyNumberFormat="1" applyFont="1" applyFill="1" applyBorder="1" applyAlignment="1" applyProtection="1">
      <alignment horizontal="center"/>
    </xf>
    <xf numFmtId="41" fontId="12" fillId="0" borderId="0" xfId="881" applyNumberFormat="1" applyFont="1" applyFill="1" applyBorder="1" applyAlignment="1" applyProtection="1">
      <alignment horizontal="center" vertical="center"/>
    </xf>
    <xf numFmtId="41" fontId="12" fillId="0" borderId="0" xfId="881" applyNumberFormat="1" applyFont="1" applyFill="1" applyAlignment="1" applyProtection="1">
      <alignment horizontal="right"/>
    </xf>
    <xf numFmtId="10" fontId="12" fillId="0" borderId="0" xfId="0" applyNumberFormat="1" applyFont="1" applyFill="1" applyBorder="1" applyProtection="1"/>
    <xf numFmtId="41" fontId="12" fillId="0" borderId="0" xfId="0" applyNumberFormat="1" applyFont="1" applyFill="1" applyProtection="1"/>
    <xf numFmtId="10" fontId="116" fillId="0" borderId="0" xfId="899" applyNumberFormat="1" applyFont="1" applyFill="1" applyBorder="1" applyProtection="1"/>
    <xf numFmtId="0" fontId="12" fillId="0" borderId="50" xfId="0" applyFont="1" applyFill="1" applyBorder="1" applyProtection="1"/>
    <xf numFmtId="0" fontId="12" fillId="0" borderId="0" xfId="0" applyFont="1" applyFill="1" applyBorder="1" applyAlignment="1" applyProtection="1"/>
    <xf numFmtId="173" fontId="116" fillId="0" borderId="0" xfId="0" applyNumberFormat="1" applyFont="1" applyFill="1" applyBorder="1" applyProtection="1"/>
    <xf numFmtId="0" fontId="12" fillId="0" borderId="48" xfId="0" applyFont="1" applyFill="1" applyBorder="1" applyProtection="1"/>
    <xf numFmtId="41" fontId="12" fillId="0" borderId="2" xfId="881" applyNumberFormat="1" applyFont="1" applyFill="1" applyBorder="1" applyAlignment="1" applyProtection="1"/>
    <xf numFmtId="3" fontId="12" fillId="0" borderId="0" xfId="881" applyNumberFormat="1" applyFont="1" applyFill="1" applyBorder="1" applyAlignment="1" applyProtection="1"/>
    <xf numFmtId="0" fontId="17" fillId="0" borderId="0" xfId="775" quotePrefix="1" applyFont="1" applyAlignment="1" applyProtection="1">
      <alignment horizontal="left"/>
    </xf>
    <xf numFmtId="0" fontId="9" fillId="0" borderId="0" xfId="775" applyFont="1" applyProtection="1"/>
    <xf numFmtId="0" fontId="12" fillId="0" borderId="0" xfId="881" applyNumberFormat="1" applyFont="1" applyFill="1" applyBorder="1" applyProtection="1"/>
    <xf numFmtId="0" fontId="9" fillId="0" borderId="0" xfId="775" quotePrefix="1" applyFont="1" applyAlignment="1" applyProtection="1">
      <alignment horizontal="left"/>
    </xf>
    <xf numFmtId="0" fontId="12" fillId="0" borderId="0" xfId="775" applyFont="1" applyProtection="1"/>
    <xf numFmtId="3" fontId="12" fillId="0" borderId="0" xfId="881" applyNumberFormat="1" applyFont="1" applyFill="1" applyBorder="1" applyAlignment="1" applyProtection="1">
      <alignment horizontal="center"/>
    </xf>
    <xf numFmtId="173" fontId="84" fillId="0" borderId="38" xfId="0" applyNumberFormat="1" applyFont="1" applyBorder="1" applyProtection="1"/>
    <xf numFmtId="41" fontId="12" fillId="0" borderId="11" xfId="881" applyNumberFormat="1" applyFont="1" applyFill="1" applyBorder="1" applyAlignment="1" applyProtection="1"/>
    <xf numFmtId="173" fontId="84" fillId="0" borderId="28" xfId="0" applyNumberFormat="1" applyFont="1" applyBorder="1" applyProtection="1"/>
    <xf numFmtId="174" fontId="84" fillId="0" borderId="39" xfId="0" applyNumberFormat="1" applyFont="1" applyBorder="1" applyProtection="1"/>
    <xf numFmtId="10" fontId="12" fillId="0" borderId="0" xfId="881" applyNumberFormat="1" applyFont="1" applyFill="1" applyBorder="1" applyAlignment="1" applyProtection="1"/>
    <xf numFmtId="169" fontId="12" fillId="0" borderId="0" xfId="881" applyNumberFormat="1" applyFont="1" applyFill="1" applyBorder="1" applyAlignment="1" applyProtection="1"/>
    <xf numFmtId="169" fontId="9" fillId="0" borderId="0" xfId="881"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41" fontId="13" fillId="0" borderId="11" xfId="881" applyNumberFormat="1" applyFont="1" applyFill="1" applyBorder="1" applyAlignment="1" applyProtection="1"/>
    <xf numFmtId="41" fontId="13" fillId="0" borderId="0" xfId="881" applyNumberFormat="1" applyFont="1" applyFill="1" applyBorder="1" applyAlignment="1" applyProtection="1"/>
    <xf numFmtId="41" fontId="12" fillId="0" borderId="11" xfId="0" applyNumberFormat="1" applyFont="1" applyFill="1" applyBorder="1" applyProtection="1"/>
    <xf numFmtId="41" fontId="13" fillId="0" borderId="0" xfId="0" applyNumberFormat="1" applyFont="1" applyFill="1" applyProtection="1"/>
    <xf numFmtId="10" fontId="12" fillId="0" borderId="11" xfId="0" applyNumberFormat="1" applyFont="1" applyFill="1" applyBorder="1" applyProtection="1"/>
    <xf numFmtId="9" fontId="12" fillId="27" borderId="0" xfId="899" applyFont="1" applyFill="1" applyAlignment="1" applyProtection="1">
      <alignment horizontal="right"/>
    </xf>
    <xf numFmtId="9" fontId="12" fillId="0" borderId="0" xfId="899" applyFont="1" applyFill="1" applyBorder="1" applyProtection="1"/>
    <xf numFmtId="173" fontId="12" fillId="0" borderId="11" xfId="198" applyNumberFormat="1" applyFont="1" applyFill="1" applyBorder="1" applyAlignment="1" applyProtection="1"/>
    <xf numFmtId="41" fontId="67" fillId="0" borderId="0" xfId="0" applyNumberFormat="1" applyFont="1" applyFill="1" applyProtection="1"/>
    <xf numFmtId="10" fontId="13" fillId="0" borderId="0" xfId="0" applyNumberFormat="1" applyFont="1" applyFill="1" applyProtection="1"/>
    <xf numFmtId="164" fontId="12" fillId="0" borderId="0" xfId="899" applyNumberFormat="1" applyFont="1" applyFill="1" applyProtection="1"/>
    <xf numFmtId="43" fontId="12" fillId="0" borderId="0" xfId="198" applyNumberFormat="1" applyFont="1" applyFill="1" applyProtection="1"/>
    <xf numFmtId="0" fontId="11" fillId="0" borderId="0" xfId="0" quotePrefix="1" applyFont="1" applyAlignment="1" applyProtection="1">
      <alignment horizontal="left"/>
    </xf>
    <xf numFmtId="0" fontId="12" fillId="0" borderId="0" xfId="0" applyFont="1" applyAlignment="1" applyProtection="1">
      <alignment horizontal="center"/>
    </xf>
    <xf numFmtId="10" fontId="12" fillId="0" borderId="0" xfId="0" applyNumberFormat="1" applyFont="1" applyProtection="1"/>
    <xf numFmtId="173" fontId="12" fillId="0" borderId="0" xfId="275" applyNumberFormat="1" applyFont="1" applyProtection="1"/>
    <xf numFmtId="0" fontId="12" fillId="0" borderId="0" xfId="0" applyFont="1" applyBorder="1" applyProtection="1"/>
    <xf numFmtId="0" fontId="18" fillId="0" borderId="0" xfId="0" applyFont="1" applyAlignment="1" applyProtection="1">
      <alignment horizontal="right"/>
    </xf>
    <xf numFmtId="0" fontId="18" fillId="0" borderId="0" xfId="0" applyFont="1" applyFill="1" applyAlignment="1" applyProtection="1">
      <alignment horizontal="right"/>
    </xf>
    <xf numFmtId="0" fontId="18" fillId="0" borderId="0" xfId="0" quotePrefix="1" applyFont="1" applyAlignment="1" applyProtection="1">
      <alignment horizontal="right"/>
    </xf>
    <xf numFmtId="173" fontId="12" fillId="0" borderId="0" xfId="275" applyNumberFormat="1" applyFont="1" applyBorder="1" applyProtection="1"/>
    <xf numFmtId="0" fontId="85" fillId="0" borderId="0" xfId="0" applyFont="1" applyProtection="1"/>
    <xf numFmtId="0" fontId="9" fillId="0" borderId="0" xfId="0" applyFont="1" applyAlignment="1" applyProtection="1">
      <alignment horizontal="left"/>
    </xf>
    <xf numFmtId="0" fontId="7" fillId="27" borderId="0" xfId="275" applyNumberFormat="1" applyFont="1" applyFill="1" applyAlignment="1" applyProtection="1">
      <alignment horizontal="left"/>
    </xf>
    <xf numFmtId="0" fontId="79" fillId="0" borderId="0" xfId="0" applyFont="1" applyProtection="1"/>
    <xf numFmtId="0" fontId="9" fillId="0" borderId="43" xfId="0" applyFont="1" applyBorder="1" applyProtection="1"/>
    <xf numFmtId="0" fontId="9" fillId="0" borderId="17" xfId="0" applyFont="1" applyBorder="1" applyProtection="1"/>
    <xf numFmtId="0" fontId="12" fillId="0" borderId="17" xfId="0" applyFont="1" applyBorder="1" applyProtection="1"/>
    <xf numFmtId="173" fontId="9" fillId="0" borderId="21" xfId="275" applyNumberFormat="1" applyFont="1" applyBorder="1" applyProtection="1"/>
    <xf numFmtId="0" fontId="8" fillId="0" borderId="0" xfId="0" applyFont="1" applyAlignment="1" applyProtection="1">
      <alignment horizontal="left"/>
    </xf>
    <xf numFmtId="0" fontId="7" fillId="0" borderId="0" xfId="275" applyNumberFormat="1" applyFont="1" applyFill="1" applyAlignment="1" applyProtection="1">
      <alignment horizontal="left"/>
    </xf>
    <xf numFmtId="0" fontId="7" fillId="0" borderId="0" xfId="275" applyNumberFormat="1" applyFont="1" applyFill="1" applyBorder="1" applyAlignment="1" applyProtection="1">
      <alignment horizontal="left"/>
    </xf>
    <xf numFmtId="0" fontId="9" fillId="0" borderId="19" xfId="0" applyFont="1" applyBorder="1" applyProtection="1"/>
    <xf numFmtId="0" fontId="8" fillId="0" borderId="0" xfId="275" applyNumberFormat="1" applyFont="1" applyFill="1" applyBorder="1" applyAlignment="1" applyProtection="1">
      <alignment horizontal="left"/>
    </xf>
    <xf numFmtId="173" fontId="9" fillId="0" borderId="25" xfId="275" applyNumberFormat="1" applyFont="1" applyBorder="1" applyProtection="1"/>
    <xf numFmtId="0" fontId="9" fillId="27" borderId="0" xfId="0" applyFont="1" applyFill="1" applyAlignment="1" applyProtection="1">
      <alignment horizontal="left"/>
    </xf>
    <xf numFmtId="173" fontId="9" fillId="0" borderId="34" xfId="275" applyNumberFormat="1" applyFont="1" applyBorder="1" applyProtection="1"/>
    <xf numFmtId="173" fontId="12" fillId="0" borderId="6" xfId="275" applyNumberFormat="1" applyFont="1" applyBorder="1" applyProtection="1"/>
    <xf numFmtId="173" fontId="12" fillId="0" borderId="27" xfId="275" applyNumberFormat="1" applyFont="1" applyBorder="1" applyProtection="1"/>
    <xf numFmtId="0" fontId="9" fillId="0" borderId="0" xfId="0" applyFont="1" applyFill="1" applyAlignment="1" applyProtection="1"/>
    <xf numFmtId="0" fontId="9" fillId="0" borderId="35" xfId="0" applyFont="1" applyFill="1" applyBorder="1" applyAlignment="1" applyProtection="1">
      <alignment horizontal="center"/>
    </xf>
    <xf numFmtId="0" fontId="9" fillId="29" borderId="36" xfId="0" applyFont="1" applyFill="1" applyBorder="1" applyAlignment="1" applyProtection="1">
      <alignment horizontal="center"/>
    </xf>
    <xf numFmtId="0" fontId="12" fillId="0" borderId="36" xfId="0" applyFont="1" applyFill="1" applyBorder="1" applyAlignment="1" applyProtection="1">
      <alignment horizontal="left"/>
    </xf>
    <xf numFmtId="0" fontId="9" fillId="0" borderId="36" xfId="0" applyFont="1" applyFill="1" applyBorder="1" applyAlignment="1" applyProtection="1">
      <alignment horizontal="center"/>
    </xf>
    <xf numFmtId="0" fontId="9" fillId="0" borderId="37" xfId="0" applyFont="1" applyFill="1" applyBorder="1" applyAlignment="1" applyProtection="1">
      <alignment horizontal="center"/>
    </xf>
    <xf numFmtId="0" fontId="9" fillId="0" borderId="0" xfId="0" applyFont="1" applyFill="1" applyBorder="1" applyAlignment="1" applyProtection="1">
      <alignment horizontal="center"/>
    </xf>
    <xf numFmtId="0" fontId="12" fillId="0" borderId="0" xfId="0" applyFont="1" applyBorder="1" applyAlignment="1" applyProtection="1"/>
    <xf numFmtId="0" fontId="12" fillId="0" borderId="19" xfId="0" quotePrefix="1" applyFont="1" applyFill="1" applyBorder="1" applyAlignment="1" applyProtection="1">
      <alignment horizontal="left"/>
    </xf>
    <xf numFmtId="173" fontId="12" fillId="27" borderId="20" xfId="275" applyNumberFormat="1" applyFont="1" applyFill="1" applyBorder="1" applyAlignment="1" applyProtection="1">
      <alignment horizontal="right"/>
    </xf>
    <xf numFmtId="0" fontId="12" fillId="0" borderId="0" xfId="0" applyFont="1" applyBorder="1" applyAlignment="1" applyProtection="1">
      <alignment horizontal="center"/>
    </xf>
    <xf numFmtId="0" fontId="9" fillId="0" borderId="21" xfId="0" applyFont="1" applyFill="1" applyBorder="1" applyAlignment="1" applyProtection="1">
      <alignment horizontal="center"/>
    </xf>
    <xf numFmtId="0" fontId="12" fillId="27" borderId="20" xfId="0" applyFont="1" applyFill="1" applyBorder="1" applyAlignment="1" applyProtection="1">
      <alignment horizontal="right"/>
    </xf>
    <xf numFmtId="173" fontId="12" fillId="0" borderId="20" xfId="0" applyNumberFormat="1" applyFont="1" applyFill="1" applyBorder="1" applyAlignment="1" applyProtection="1">
      <alignment horizontal="right"/>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Border="1" applyProtection="1"/>
    <xf numFmtId="173" fontId="12" fillId="0" borderId="20" xfId="275" applyNumberFormat="1" applyFont="1" applyBorder="1" applyProtection="1"/>
    <xf numFmtId="0" fontId="9" fillId="0" borderId="38" xfId="0" applyFont="1" applyBorder="1" applyAlignment="1" applyProtection="1">
      <alignment horizontal="center"/>
    </xf>
    <xf numFmtId="173" fontId="9" fillId="0" borderId="38" xfId="275" applyNumberFormat="1" applyFont="1" applyBorder="1" applyAlignment="1" applyProtection="1">
      <alignment horizontal="center"/>
    </xf>
    <xf numFmtId="173" fontId="9" fillId="0" borderId="21" xfId="275" quotePrefix="1" applyNumberFormat="1" applyFont="1" applyFill="1" applyBorder="1" applyAlignment="1" applyProtection="1">
      <alignment horizontal="center" wrapText="1"/>
    </xf>
    <xf numFmtId="173" fontId="9" fillId="0" borderId="21" xfId="275" quotePrefix="1" applyNumberFormat="1" applyFont="1" applyBorder="1" applyAlignment="1" applyProtection="1">
      <alignment horizontal="center" wrapText="1"/>
    </xf>
    <xf numFmtId="0" fontId="9" fillId="0" borderId="28" xfId="0" applyFont="1" applyBorder="1" applyAlignment="1" applyProtection="1">
      <alignment horizontal="center"/>
    </xf>
    <xf numFmtId="173" fontId="9" fillId="0" borderId="38" xfId="275" quotePrefix="1" applyNumberFormat="1" applyFont="1" applyBorder="1" applyAlignment="1" applyProtection="1">
      <alignment horizontal="center" wrapText="1"/>
    </xf>
    <xf numFmtId="173" fontId="9" fillId="0" borderId="38" xfId="275" applyNumberFormat="1" applyFont="1" applyFill="1" applyBorder="1" applyAlignment="1" applyProtection="1">
      <alignment horizontal="center" wrapText="1"/>
    </xf>
    <xf numFmtId="173" fontId="9" fillId="0" borderId="38" xfId="275" applyNumberFormat="1" applyFont="1" applyBorder="1" applyAlignment="1" applyProtection="1">
      <alignment horizontal="center" wrapText="1"/>
    </xf>
    <xf numFmtId="0" fontId="9" fillId="0" borderId="39" xfId="0" applyFont="1" applyBorder="1" applyAlignment="1" applyProtection="1">
      <alignment horizontal="center" wrapText="1"/>
    </xf>
    <xf numFmtId="0" fontId="9" fillId="0" borderId="39" xfId="0" applyFont="1" applyBorder="1" applyAlignment="1" applyProtection="1">
      <alignment horizontal="center"/>
    </xf>
    <xf numFmtId="173" fontId="9" fillId="0" borderId="27" xfId="275" applyNumberFormat="1" applyFont="1" applyFill="1" applyBorder="1" applyAlignment="1" applyProtection="1">
      <alignment horizontal="center"/>
    </xf>
    <xf numFmtId="173" fontId="9" fillId="0" borderId="27" xfId="275" applyNumberFormat="1" applyFont="1" applyBorder="1" applyAlignment="1" applyProtection="1">
      <alignment horizontal="center"/>
    </xf>
    <xf numFmtId="0" fontId="9" fillId="0" borderId="39" xfId="0" applyFont="1" applyFill="1" applyBorder="1" applyAlignment="1" applyProtection="1">
      <alignment horizontal="center"/>
    </xf>
    <xf numFmtId="0" fontId="9" fillId="0" borderId="28" xfId="0" applyFont="1" applyFill="1" applyBorder="1" applyAlignment="1" applyProtection="1">
      <alignment horizontal="center"/>
    </xf>
    <xf numFmtId="173" fontId="9" fillId="0" borderId="39" xfId="275" applyNumberFormat="1" applyFont="1" applyBorder="1" applyAlignment="1" applyProtection="1">
      <alignment horizontal="center"/>
    </xf>
    <xf numFmtId="173" fontId="9" fillId="0" borderId="39" xfId="275" applyNumberFormat="1" applyFont="1" applyFill="1" applyBorder="1" applyAlignment="1" applyProtection="1">
      <alignment horizontal="center"/>
    </xf>
    <xf numFmtId="173" fontId="9" fillId="0" borderId="34" xfId="275" applyNumberFormat="1" applyFont="1" applyFill="1" applyBorder="1" applyAlignment="1" applyProtection="1">
      <alignment horizontal="center"/>
    </xf>
    <xf numFmtId="0" fontId="12" fillId="0" borderId="28" xfId="0" applyNumberFormat="1" applyFont="1" applyBorder="1" applyAlignment="1" applyProtection="1">
      <alignment horizontal="center"/>
    </xf>
    <xf numFmtId="173" fontId="12" fillId="0" borderId="0" xfId="0" applyNumberFormat="1" applyFont="1" applyBorder="1" applyProtection="1"/>
    <xf numFmtId="173" fontId="12" fillId="0" borderId="38" xfId="275" applyNumberFormat="1" applyFont="1" applyBorder="1" applyProtection="1"/>
    <xf numFmtId="174" fontId="12" fillId="0" borderId="20" xfId="0" applyNumberFormat="1" applyFont="1" applyBorder="1" applyProtection="1"/>
    <xf numFmtId="174" fontId="12" fillId="0" borderId="38" xfId="0" applyNumberFormat="1" applyFont="1" applyFill="1" applyBorder="1" applyProtection="1"/>
    <xf numFmtId="174" fontId="12" fillId="0" borderId="38" xfId="0" applyNumberFormat="1" applyFont="1" applyBorder="1" applyProtection="1"/>
    <xf numFmtId="174" fontId="12" fillId="0" borderId="28" xfId="0" applyNumberFormat="1" applyFont="1" applyBorder="1" applyProtection="1"/>
    <xf numFmtId="173" fontId="12" fillId="0" borderId="28" xfId="0" applyNumberFormat="1" applyFont="1" applyBorder="1" applyProtection="1"/>
    <xf numFmtId="173" fontId="12" fillId="0" borderId="28" xfId="275" applyNumberFormat="1" applyFont="1" applyBorder="1" applyProtection="1"/>
    <xf numFmtId="174" fontId="12" fillId="27" borderId="28" xfId="0" applyNumberFormat="1" applyFont="1" applyFill="1" applyBorder="1" applyProtection="1"/>
    <xf numFmtId="173" fontId="12" fillId="0" borderId="28" xfId="0" applyNumberFormat="1" applyFont="1" applyFill="1" applyBorder="1" applyProtection="1"/>
    <xf numFmtId="173" fontId="12" fillId="0" borderId="28" xfId="275" applyNumberFormat="1" applyFont="1" applyFill="1" applyBorder="1" applyProtection="1"/>
    <xf numFmtId="0" fontId="12" fillId="0" borderId="39" xfId="0" applyNumberFormat="1" applyFont="1" applyBorder="1" applyAlignment="1" applyProtection="1">
      <alignment horizontal="center"/>
    </xf>
    <xf numFmtId="173" fontId="12" fillId="0" borderId="39" xfId="0" applyNumberFormat="1" applyFont="1" applyBorder="1" applyProtection="1"/>
    <xf numFmtId="173" fontId="12" fillId="0" borderId="39" xfId="275" applyNumberFormat="1" applyFont="1" applyBorder="1" applyProtection="1"/>
    <xf numFmtId="173" fontId="12" fillId="0" borderId="39" xfId="275" applyNumberFormat="1" applyFont="1" applyFill="1" applyBorder="1" applyProtection="1"/>
    <xf numFmtId="174" fontId="12" fillId="0" borderId="27" xfId="0" applyNumberFormat="1" applyFont="1" applyBorder="1" applyProtection="1"/>
    <xf numFmtId="174" fontId="12" fillId="27" borderId="39" xfId="0" applyNumberFormat="1" applyFont="1" applyFill="1" applyBorder="1" applyProtection="1"/>
    <xf numFmtId="174" fontId="12" fillId="0" borderId="39" xfId="0" applyNumberFormat="1" applyFont="1" applyBorder="1" applyProtection="1"/>
    <xf numFmtId="174" fontId="12" fillId="0" borderId="0" xfId="0" applyNumberFormat="1" applyFont="1" applyBorder="1" applyProtection="1"/>
    <xf numFmtId="173" fontId="12" fillId="0" borderId="0" xfId="0" applyNumberFormat="1" applyFont="1" applyProtection="1"/>
    <xf numFmtId="0" fontId="12" fillId="0" borderId="0" xfId="0" applyFont="1" applyAlignment="1" applyProtection="1">
      <alignment horizontal="left"/>
    </xf>
    <xf numFmtId="0" fontId="18" fillId="0" borderId="0" xfId="0" quotePrefix="1" applyFont="1" applyAlignment="1" applyProtection="1">
      <alignment horizontal="center"/>
    </xf>
    <xf numFmtId="0" fontId="18" fillId="0" borderId="0" xfId="0" applyFont="1" applyFill="1" applyAlignment="1" applyProtection="1">
      <alignment horizontal="center"/>
    </xf>
    <xf numFmtId="0" fontId="18" fillId="0" borderId="0" xfId="791" applyFont="1" applyFill="1" applyBorder="1" applyAlignment="1" applyProtection="1">
      <alignment horizontal="center"/>
    </xf>
    <xf numFmtId="3" fontId="6" fillId="0" borderId="0" xfId="0" applyNumberFormat="1" applyFont="1" applyFill="1" applyAlignment="1" applyProtection="1">
      <alignment horizontal="center"/>
    </xf>
    <xf numFmtId="1" fontId="116" fillId="0" borderId="32" xfId="0" quotePrefix="1" applyNumberFormat="1" applyFont="1" applyFill="1" applyBorder="1" applyAlignment="1" applyProtection="1">
      <alignment horizontal="right"/>
    </xf>
    <xf numFmtId="10" fontId="116" fillId="0" borderId="32" xfId="0" applyNumberFormat="1" applyFont="1" applyFill="1" applyBorder="1" applyProtection="1"/>
    <xf numFmtId="1" fontId="12" fillId="26" borderId="0" xfId="881" applyNumberFormat="1" applyFont="1" applyFill="1" applyBorder="1" applyAlignment="1" applyProtection="1">
      <alignment horizontal="center"/>
    </xf>
    <xf numFmtId="167" fontId="116" fillId="0" borderId="32" xfId="0" applyNumberFormat="1" applyFont="1" applyFill="1" applyBorder="1" applyProtection="1"/>
    <xf numFmtId="41" fontId="12" fillId="0" borderId="19" xfId="881" quotePrefix="1" applyNumberFormat="1" applyFont="1" applyFill="1" applyBorder="1" applyAlignment="1" applyProtection="1">
      <alignment horizontal="left"/>
    </xf>
    <xf numFmtId="41" fontId="12" fillId="0" borderId="0" xfId="881" quotePrefix="1" applyNumberFormat="1" applyFont="1" applyFill="1" applyBorder="1" applyAlignment="1" applyProtection="1">
      <alignment horizontal="right"/>
    </xf>
    <xf numFmtId="174" fontId="12" fillId="0" borderId="0" xfId="0" applyNumberFormat="1" applyFont="1" applyFill="1" applyBorder="1" applyProtection="1"/>
    <xf numFmtId="174" fontId="12" fillId="0" borderId="20" xfId="0" applyNumberFormat="1" applyFont="1" applyFill="1" applyBorder="1" applyProtection="1"/>
    <xf numFmtId="41" fontId="12" fillId="0" borderId="19" xfId="881" quotePrefix="1" applyNumberFormat="1" applyFont="1" applyFill="1" applyBorder="1" applyAlignment="1" applyProtection="1">
      <alignment horizontal="left" vertical="center"/>
    </xf>
    <xf numFmtId="41" fontId="12" fillId="0" borderId="0" xfId="881" quotePrefix="1" applyNumberFormat="1" applyFont="1" applyFill="1" applyBorder="1" applyAlignment="1" applyProtection="1">
      <alignment horizontal="right" vertical="center"/>
    </xf>
    <xf numFmtId="0" fontId="12" fillId="0" borderId="33" xfId="0" applyFont="1" applyFill="1" applyBorder="1" applyAlignment="1" applyProtection="1">
      <alignment horizontal="left"/>
    </xf>
    <xf numFmtId="0" fontId="12" fillId="0" borderId="30" xfId="0" applyFont="1" applyFill="1" applyBorder="1" applyAlignment="1" applyProtection="1">
      <alignment horizontal="right"/>
    </xf>
    <xf numFmtId="173" fontId="12" fillId="0" borderId="30" xfId="0" applyNumberFormat="1" applyFont="1" applyFill="1" applyBorder="1" applyProtection="1"/>
    <xf numFmtId="173" fontId="12" fillId="0" borderId="31" xfId="0" applyNumberFormat="1" applyFont="1" applyFill="1" applyBorder="1" applyProtection="1"/>
    <xf numFmtId="173" fontId="12" fillId="0" borderId="0" xfId="881" quotePrefix="1" applyNumberFormat="1" applyFont="1" applyFill="1" applyBorder="1" applyAlignment="1" applyProtection="1">
      <alignment horizontal="center"/>
    </xf>
    <xf numFmtId="0" fontId="12" fillId="0" borderId="25" xfId="0" applyFont="1" applyFill="1" applyBorder="1" applyProtection="1"/>
    <xf numFmtId="173" fontId="116" fillId="0" borderId="42" xfId="0" applyNumberFormat="1" applyFont="1" applyFill="1" applyBorder="1" applyProtection="1"/>
    <xf numFmtId="0" fontId="12" fillId="0" borderId="26" xfId="0" applyFont="1" applyFill="1" applyBorder="1" applyProtection="1"/>
    <xf numFmtId="173" fontId="116" fillId="0" borderId="33" xfId="0" applyNumberFormat="1" applyFont="1" applyFill="1" applyBorder="1" applyProtection="1"/>
    <xf numFmtId="0" fontId="12" fillId="0" borderId="27" xfId="0" applyFont="1" applyFill="1" applyBorder="1" applyProtection="1"/>
    <xf numFmtId="173" fontId="12" fillId="0" borderId="0" xfId="0" applyNumberFormat="1" applyFont="1" applyFill="1" applyBorder="1" applyProtection="1"/>
    <xf numFmtId="174" fontId="84" fillId="0" borderId="28" xfId="0" applyNumberFormat="1" applyFont="1" applyBorder="1" applyProtection="1"/>
    <xf numFmtId="0" fontId="11" fillId="0" borderId="0" xfId="775" quotePrefix="1" applyFont="1" applyAlignment="1" applyProtection="1">
      <alignment horizontal="left"/>
    </xf>
    <xf numFmtId="0" fontId="12" fillId="0" borderId="0" xfId="775" applyFont="1" applyFill="1" applyBorder="1" applyProtection="1"/>
    <xf numFmtId="0" fontId="12" fillId="0" borderId="0" xfId="775" applyFont="1" applyAlignment="1" applyProtection="1">
      <alignment horizontal="center"/>
    </xf>
    <xf numFmtId="10" fontId="12" fillId="0" borderId="0" xfId="775" applyNumberFormat="1" applyFont="1" applyProtection="1"/>
    <xf numFmtId="0" fontId="12" fillId="0" borderId="0" xfId="775" applyFont="1" applyBorder="1" applyProtection="1"/>
    <xf numFmtId="0" fontId="18" fillId="0" borderId="0" xfId="775" applyFont="1" applyAlignment="1" applyProtection="1">
      <alignment horizontal="right"/>
    </xf>
    <xf numFmtId="0" fontId="18" fillId="0" borderId="0" xfId="775" quotePrefix="1" applyFont="1" applyAlignment="1" applyProtection="1">
      <alignment horizontal="right"/>
    </xf>
    <xf numFmtId="0" fontId="57" fillId="0" borderId="0" xfId="775" applyFont="1" applyFill="1" applyProtection="1"/>
    <xf numFmtId="0" fontId="8" fillId="0" borderId="0" xfId="775" applyFont="1" applyFill="1" applyProtection="1"/>
    <xf numFmtId="1" fontId="9" fillId="0" borderId="47" xfId="775" applyNumberFormat="1" applyFont="1" applyFill="1" applyBorder="1" applyAlignment="1" applyProtection="1">
      <alignment horizontal="center"/>
    </xf>
    <xf numFmtId="172" fontId="12" fillId="0" borderId="40" xfId="881" applyFont="1" applyBorder="1" applyAlignment="1" applyProtection="1">
      <alignment horizontal="center"/>
    </xf>
    <xf numFmtId="172" fontId="12" fillId="0" borderId="40" xfId="881" quotePrefix="1" applyFont="1" applyBorder="1" applyAlignment="1" applyProtection="1">
      <alignment horizontal="center"/>
    </xf>
    <xf numFmtId="3" fontId="12" fillId="0" borderId="41" xfId="881" applyNumberFormat="1" applyFont="1" applyBorder="1" applyAlignment="1" applyProtection="1">
      <alignment horizontal="center"/>
    </xf>
    <xf numFmtId="0" fontId="79" fillId="0" borderId="0" xfId="775" applyFont="1" applyProtection="1"/>
    <xf numFmtId="0" fontId="12" fillId="0" borderId="38" xfId="775" applyFont="1" applyBorder="1" applyProtection="1"/>
    <xf numFmtId="173" fontId="12" fillId="0" borderId="19" xfId="275" quotePrefix="1" applyNumberFormat="1" applyFont="1" applyBorder="1" applyAlignment="1" applyProtection="1">
      <alignment horizontal="right"/>
    </xf>
    <xf numFmtId="173" fontId="9" fillId="0" borderId="0" xfId="275" applyNumberFormat="1" applyFont="1" applyBorder="1" applyProtection="1"/>
    <xf numFmtId="173" fontId="12" fillId="0" borderId="20" xfId="775" applyNumberFormat="1" applyFont="1" applyBorder="1" applyProtection="1"/>
    <xf numFmtId="0" fontId="8" fillId="0" borderId="0" xfId="775" applyFont="1" applyAlignment="1" applyProtection="1">
      <alignment horizontal="left"/>
    </xf>
    <xf numFmtId="0" fontId="7" fillId="0" borderId="44" xfId="275" applyNumberFormat="1" applyFont="1" applyFill="1" applyBorder="1" applyAlignment="1" applyProtection="1">
      <alignment horizontal="left"/>
    </xf>
    <xf numFmtId="173" fontId="12" fillId="0" borderId="45" xfId="275" quotePrefix="1" applyNumberFormat="1" applyFont="1" applyBorder="1" applyAlignment="1" applyProtection="1">
      <alignment horizontal="right"/>
    </xf>
    <xf numFmtId="173" fontId="9" fillId="0" borderId="11" xfId="275" applyNumberFormat="1" applyFont="1" applyBorder="1" applyProtection="1"/>
    <xf numFmtId="173" fontId="12" fillId="0" borderId="25" xfId="775" applyNumberFormat="1" applyFont="1" applyBorder="1" applyProtection="1"/>
    <xf numFmtId="0" fontId="9" fillId="0" borderId="0" xfId="775" applyFont="1" applyFill="1" applyProtection="1"/>
    <xf numFmtId="0" fontId="12" fillId="0" borderId="34" xfId="775" quotePrefix="1" applyFont="1" applyBorder="1" applyAlignment="1" applyProtection="1">
      <alignment horizontal="right"/>
    </xf>
    <xf numFmtId="173" fontId="9" fillId="0" borderId="6" xfId="275" applyNumberFormat="1" applyFont="1" applyFill="1" applyBorder="1" applyAlignment="1" applyProtection="1">
      <alignment horizontal="left"/>
    </xf>
    <xf numFmtId="173" fontId="9" fillId="0" borderId="27" xfId="275" applyNumberFormat="1" applyFont="1" applyFill="1" applyBorder="1" applyAlignment="1" applyProtection="1">
      <alignment horizontal="left"/>
    </xf>
    <xf numFmtId="173" fontId="12" fillId="0" borderId="0" xfId="775" applyNumberFormat="1" applyFont="1" applyAlignment="1" applyProtection="1">
      <alignment horizontal="left"/>
    </xf>
    <xf numFmtId="173" fontId="12" fillId="0" borderId="0" xfId="775" applyNumberFormat="1" applyFont="1" applyProtection="1"/>
    <xf numFmtId="0" fontId="12" fillId="0" borderId="0" xfId="775" applyFont="1" applyFill="1" applyAlignment="1" applyProtection="1">
      <alignment wrapText="1"/>
    </xf>
    <xf numFmtId="0" fontId="12" fillId="0" borderId="0" xfId="775" applyFont="1" applyFill="1" applyProtection="1"/>
    <xf numFmtId="0" fontId="12" fillId="0" borderId="35" xfId="775" applyFont="1" applyFill="1" applyBorder="1" applyAlignment="1" applyProtection="1">
      <alignment horizontal="center"/>
    </xf>
    <xf numFmtId="0" fontId="12" fillId="0" borderId="36" xfId="775" applyFont="1" applyBorder="1" applyAlignment="1" applyProtection="1"/>
    <xf numFmtId="0" fontId="12" fillId="0" borderId="0" xfId="775" applyFont="1" applyFill="1" applyBorder="1" applyAlignment="1" applyProtection="1"/>
    <xf numFmtId="0" fontId="12" fillId="0" borderId="0" xfId="775" applyFont="1" applyBorder="1" applyAlignment="1" applyProtection="1"/>
    <xf numFmtId="0" fontId="12" fillId="0" borderId="19" xfId="775" quotePrefix="1" applyFont="1" applyFill="1" applyBorder="1" applyAlignment="1" applyProtection="1">
      <alignment horizontal="left"/>
    </xf>
    <xf numFmtId="43" fontId="7" fillId="27" borderId="46" xfId="198" applyFont="1" applyFill="1" applyBorder="1" applyProtection="1"/>
    <xf numFmtId="0" fontId="12" fillId="0" borderId="0" xfId="775" applyFont="1" applyBorder="1" applyAlignment="1" applyProtection="1">
      <alignment horizontal="center"/>
    </xf>
    <xf numFmtId="1" fontId="9" fillId="0" borderId="21" xfId="775" applyNumberFormat="1" applyFont="1" applyFill="1" applyBorder="1" applyAlignment="1" applyProtection="1">
      <alignment horizontal="center"/>
    </xf>
    <xf numFmtId="0" fontId="9" fillId="0" borderId="0" xfId="775" applyFont="1" applyFill="1" applyBorder="1" applyAlignment="1" applyProtection="1">
      <alignment horizontal="center"/>
    </xf>
    <xf numFmtId="0" fontId="12" fillId="0" borderId="19" xfId="775" applyFont="1" applyFill="1" applyBorder="1" applyProtection="1"/>
    <xf numFmtId="43" fontId="7" fillId="27" borderId="0" xfId="198" applyFont="1" applyFill="1" applyBorder="1" applyProtection="1"/>
    <xf numFmtId="173" fontId="12" fillId="0" borderId="20" xfId="775" applyNumberFormat="1" applyFont="1" applyFill="1" applyBorder="1" applyAlignment="1" applyProtection="1">
      <alignment horizontal="right"/>
    </xf>
    <xf numFmtId="173" fontId="12" fillId="0" borderId="0" xfId="775" applyNumberFormat="1" applyFont="1" applyFill="1" applyBorder="1" applyAlignment="1" applyProtection="1">
      <alignment horizontal="right"/>
    </xf>
    <xf numFmtId="10" fontId="12" fillId="0" borderId="20" xfId="775" applyNumberFormat="1" applyFont="1" applyBorder="1" applyProtection="1"/>
    <xf numFmtId="10" fontId="12" fillId="0" borderId="0" xfId="775" applyNumberFormat="1" applyFont="1" applyFill="1" applyBorder="1" applyProtection="1"/>
    <xf numFmtId="10" fontId="12" fillId="0" borderId="0" xfId="775" applyNumberFormat="1" applyFont="1" applyBorder="1" applyProtection="1"/>
    <xf numFmtId="0" fontId="12" fillId="0" borderId="34" xfId="775" applyFont="1" applyBorder="1" applyProtection="1"/>
    <xf numFmtId="0" fontId="12" fillId="0" borderId="6" xfId="775" applyFont="1" applyBorder="1" applyAlignment="1" applyProtection="1">
      <alignment horizontal="center"/>
    </xf>
    <xf numFmtId="0" fontId="12" fillId="0" borderId="6" xfId="775" applyFont="1" applyBorder="1" applyProtection="1"/>
    <xf numFmtId="0" fontId="12" fillId="0" borderId="0" xfId="775" applyFont="1" applyAlignment="1" applyProtection="1">
      <alignment wrapText="1"/>
    </xf>
    <xf numFmtId="0" fontId="9" fillId="0" borderId="38" xfId="775" applyFont="1" applyBorder="1" applyAlignment="1" applyProtection="1">
      <alignment horizontal="center" wrapText="1"/>
    </xf>
    <xf numFmtId="173" fontId="9" fillId="0" borderId="38" xfId="275" applyNumberFormat="1" applyFont="1" applyFill="1" applyBorder="1" applyAlignment="1" applyProtection="1">
      <alignment horizontal="center"/>
    </xf>
    <xf numFmtId="173" fontId="9" fillId="0" borderId="38" xfId="275" quotePrefix="1" applyNumberFormat="1" applyFont="1" applyFill="1" applyBorder="1" applyAlignment="1" applyProtection="1">
      <alignment horizontal="center" wrapText="1"/>
    </xf>
    <xf numFmtId="0" fontId="9" fillId="0" borderId="28" xfId="775" applyFont="1" applyBorder="1" applyAlignment="1" applyProtection="1">
      <alignment horizontal="center" wrapText="1"/>
    </xf>
    <xf numFmtId="0" fontId="9" fillId="0" borderId="39" xfId="775" applyFont="1" applyBorder="1" applyAlignment="1" applyProtection="1">
      <alignment horizontal="center"/>
    </xf>
    <xf numFmtId="0" fontId="9" fillId="0" borderId="6" xfId="775" applyFont="1" applyFill="1" applyBorder="1" applyAlignment="1" applyProtection="1">
      <alignment horizontal="center"/>
    </xf>
    <xf numFmtId="0" fontId="9" fillId="0" borderId="39" xfId="775" applyFont="1" applyFill="1" applyBorder="1" applyAlignment="1" applyProtection="1">
      <alignment horizontal="center"/>
    </xf>
    <xf numFmtId="0" fontId="9" fillId="0" borderId="28" xfId="775" applyFont="1" applyFill="1" applyBorder="1" applyAlignment="1" applyProtection="1">
      <alignment horizontal="center"/>
    </xf>
    <xf numFmtId="0" fontId="12" fillId="0" borderId="28" xfId="775" applyNumberFormat="1" applyFont="1" applyBorder="1" applyAlignment="1" applyProtection="1">
      <alignment horizontal="center"/>
    </xf>
    <xf numFmtId="173" fontId="12" fillId="0" borderId="0" xfId="775" applyNumberFormat="1" applyFont="1" applyBorder="1" applyProtection="1"/>
    <xf numFmtId="173" fontId="12" fillId="0" borderId="28" xfId="775" applyNumberFormat="1" applyFont="1" applyBorder="1" applyProtection="1"/>
    <xf numFmtId="173" fontId="12" fillId="0" borderId="38" xfId="775" applyNumberFormat="1" applyFont="1" applyBorder="1" applyProtection="1"/>
    <xf numFmtId="170" fontId="12" fillId="0" borderId="28" xfId="275" applyNumberFormat="1" applyFont="1" applyFill="1" applyBorder="1" applyProtection="1"/>
    <xf numFmtId="170" fontId="12" fillId="0" borderId="20" xfId="275" applyNumberFormat="1" applyFont="1" applyFill="1" applyBorder="1" applyProtection="1"/>
    <xf numFmtId="174" fontId="12" fillId="0" borderId="28" xfId="775" applyNumberFormat="1" applyFont="1" applyBorder="1" applyProtection="1"/>
    <xf numFmtId="174" fontId="12" fillId="27" borderId="38" xfId="775" applyNumberFormat="1" applyFont="1" applyFill="1" applyBorder="1" applyProtection="1"/>
    <xf numFmtId="174" fontId="12" fillId="0" borderId="38" xfId="775" applyNumberFormat="1" applyFont="1" applyBorder="1" applyProtection="1"/>
    <xf numFmtId="173" fontId="12" fillId="0" borderId="20" xfId="275" applyNumberFormat="1" applyFont="1" applyFill="1" applyBorder="1" applyProtection="1"/>
    <xf numFmtId="174" fontId="12" fillId="27" borderId="28" xfId="775" applyNumberFormat="1" applyFont="1" applyFill="1" applyBorder="1" applyProtection="1"/>
    <xf numFmtId="0" fontId="12" fillId="0" borderId="39" xfId="775" applyNumberFormat="1" applyFont="1" applyBorder="1" applyAlignment="1" applyProtection="1">
      <alignment horizontal="center"/>
    </xf>
    <xf numFmtId="173" fontId="12" fillId="0" borderId="6" xfId="775" applyNumberFormat="1" applyFont="1" applyBorder="1" applyProtection="1"/>
    <xf numFmtId="173" fontId="12" fillId="0" borderId="39" xfId="775" applyNumberFormat="1" applyFont="1" applyBorder="1" applyProtection="1"/>
    <xf numFmtId="173" fontId="12" fillId="0" borderId="27" xfId="275" applyNumberFormat="1" applyFont="1" applyFill="1" applyBorder="1" applyProtection="1"/>
    <xf numFmtId="174" fontId="12" fillId="0" borderId="39" xfId="775" applyNumberFormat="1" applyFont="1" applyBorder="1" applyProtection="1"/>
    <xf numFmtId="174" fontId="12" fillId="27" borderId="39" xfId="775" applyNumberFormat="1" applyFont="1" applyFill="1" applyBorder="1" applyProtection="1"/>
    <xf numFmtId="0" fontId="12" fillId="0" borderId="0" xfId="775" quotePrefix="1" applyFont="1" applyAlignment="1" applyProtection="1">
      <alignment horizontal="left"/>
    </xf>
    <xf numFmtId="174" fontId="12" fillId="0" borderId="0" xfId="775" applyNumberFormat="1" applyFont="1" applyBorder="1" applyProtection="1"/>
    <xf numFmtId="0" fontId="71" fillId="0" borderId="0" xfId="0" applyFont="1" applyFill="1" applyProtection="1"/>
    <xf numFmtId="0" fontId="64" fillId="0" borderId="0" xfId="0" applyFont="1" applyFill="1" applyAlignment="1" applyProtection="1">
      <alignment horizontal="right"/>
    </xf>
    <xf numFmtId="0" fontId="70" fillId="0" borderId="0" xfId="883" applyFont="1" applyFill="1" applyProtection="1"/>
    <xf numFmtId="0" fontId="71" fillId="0" borderId="0" xfId="883" applyFont="1" applyFill="1" applyProtection="1"/>
    <xf numFmtId="0" fontId="72" fillId="0" borderId="0" xfId="883" applyFont="1" applyFill="1" applyAlignment="1" applyProtection="1">
      <alignment horizontal="right"/>
    </xf>
    <xf numFmtId="0" fontId="127" fillId="0" borderId="0" xfId="883" applyFont="1" applyFill="1" applyProtection="1"/>
    <xf numFmtId="0" fontId="73" fillId="0" borderId="0" xfId="883" applyFont="1" applyFill="1" applyAlignment="1" applyProtection="1">
      <alignment horizontal="right"/>
    </xf>
    <xf numFmtId="0" fontId="12" fillId="0" borderId="0" xfId="883" applyFont="1" applyFill="1" applyProtection="1"/>
    <xf numFmtId="0" fontId="11" fillId="0" borderId="0" xfId="883" applyFont="1" applyFill="1" applyAlignment="1" applyProtection="1">
      <alignment horizontal="center"/>
    </xf>
    <xf numFmtId="0" fontId="5" fillId="0" borderId="0" xfId="883" applyFont="1" applyFill="1" applyProtection="1"/>
    <xf numFmtId="0" fontId="6" fillId="0" borderId="11" xfId="883" applyFont="1" applyFill="1" applyBorder="1" applyAlignment="1" applyProtection="1">
      <alignment horizontal="center"/>
    </xf>
    <xf numFmtId="0" fontId="73" fillId="0" borderId="0" xfId="0" applyFont="1" applyFill="1" applyAlignment="1" applyProtection="1">
      <alignment horizontal="right"/>
    </xf>
    <xf numFmtId="0" fontId="11" fillId="0" borderId="0" xfId="883" applyFont="1" applyFill="1" applyProtection="1"/>
    <xf numFmtId="0" fontId="7" fillId="0" borderId="0" xfId="883" applyFont="1" applyFill="1" applyAlignment="1" applyProtection="1">
      <alignment horizontal="center"/>
    </xf>
    <xf numFmtId="0" fontId="128" fillId="0" borderId="0" xfId="883" applyFont="1" applyFill="1" applyAlignment="1" applyProtection="1">
      <alignment horizontal="center"/>
    </xf>
    <xf numFmtId="0" fontId="6" fillId="0" borderId="0" xfId="883" applyFont="1" applyFill="1" applyProtection="1"/>
    <xf numFmtId="173" fontId="7" fillId="27" borderId="0" xfId="198" applyNumberFormat="1" applyFont="1" applyFill="1" applyBorder="1" applyProtection="1"/>
    <xf numFmtId="173" fontId="7" fillId="0" borderId="0" xfId="883" applyNumberFormat="1" applyFont="1" applyFill="1" applyProtection="1"/>
    <xf numFmtId="173" fontId="12" fillId="0" borderId="0" xfId="883" applyNumberFormat="1" applyFont="1" applyFill="1" applyProtection="1"/>
    <xf numFmtId="0" fontId="7" fillId="0" borderId="0" xfId="883" applyFont="1" applyFill="1" applyProtection="1"/>
    <xf numFmtId="43" fontId="7" fillId="0" borderId="0" xfId="535" applyFont="1" applyFill="1" applyProtection="1"/>
    <xf numFmtId="43" fontId="7" fillId="0" borderId="0" xfId="198" applyFont="1" applyFill="1" applyBorder="1" applyProtection="1"/>
    <xf numFmtId="0" fontId="129" fillId="0" borderId="0" xfId="0" applyFont="1" applyFill="1" applyProtection="1"/>
    <xf numFmtId="43" fontId="12" fillId="0" borderId="0" xfId="535" applyFont="1" applyFill="1" applyProtection="1"/>
    <xf numFmtId="0" fontId="77" fillId="0" borderId="0" xfId="0" applyFont="1" applyFill="1" applyProtection="1"/>
    <xf numFmtId="0" fontId="5" fillId="0" borderId="0" xfId="883" quotePrefix="1" applyFont="1" applyFill="1" applyAlignment="1" applyProtection="1">
      <alignment horizontal="left"/>
    </xf>
    <xf numFmtId="173" fontId="7" fillId="0" borderId="2" xfId="883" applyNumberFormat="1" applyFont="1" applyFill="1" applyBorder="1" applyProtection="1"/>
    <xf numFmtId="0" fontId="77" fillId="0" borderId="0" xfId="883" applyFont="1" applyFill="1" applyProtection="1"/>
    <xf numFmtId="173" fontId="7" fillId="61" borderId="0" xfId="198" applyNumberFormat="1" applyFont="1" applyFill="1" applyBorder="1" applyProtection="1"/>
    <xf numFmtId="173" fontId="7" fillId="0" borderId="2" xfId="198" applyNumberFormat="1" applyFont="1" applyFill="1" applyBorder="1" applyProtection="1"/>
    <xf numFmtId="173" fontId="7" fillId="0" borderId="0" xfId="883" applyNumberFormat="1" applyFont="1" applyFill="1" applyBorder="1" applyProtection="1"/>
    <xf numFmtId="0" fontId="64" fillId="0" borderId="0" xfId="883" applyFont="1" applyFill="1" applyAlignment="1" applyProtection="1"/>
    <xf numFmtId="0" fontId="6" fillId="0" borderId="0" xfId="883" applyFont="1" applyFill="1" applyAlignment="1" applyProtection="1">
      <alignment horizontal="right"/>
    </xf>
    <xf numFmtId="0" fontId="8" fillId="0" borderId="0" xfId="883" quotePrefix="1" applyFont="1" applyFill="1" applyAlignment="1" applyProtection="1">
      <alignment horizontal="left"/>
    </xf>
    <xf numFmtId="0" fontId="9" fillId="0" borderId="0" xfId="883" applyFont="1" applyFill="1" applyProtection="1"/>
    <xf numFmtId="0" fontId="9" fillId="0" borderId="0" xfId="883" applyFont="1" applyFill="1" applyAlignment="1" applyProtection="1">
      <alignment horizontal="left"/>
    </xf>
    <xf numFmtId="0" fontId="8" fillId="0" borderId="0" xfId="876" applyFont="1" applyFill="1" applyProtection="1"/>
    <xf numFmtId="0" fontId="8" fillId="0" borderId="0" xfId="883" applyFont="1" applyFill="1" applyProtection="1"/>
    <xf numFmtId="0" fontId="128" fillId="0" borderId="0" xfId="883" applyFont="1" applyFill="1" applyAlignment="1" applyProtection="1">
      <alignment horizontal="center" vertical="top"/>
    </xf>
    <xf numFmtId="0" fontId="111" fillId="0" borderId="0" xfId="883" applyFont="1" applyFill="1" applyProtection="1"/>
    <xf numFmtId="0" fontId="110" fillId="0" borderId="0" xfId="883" applyFont="1" applyFill="1" applyProtection="1"/>
    <xf numFmtId="170" fontId="7" fillId="0" borderId="14" xfId="883" applyNumberFormat="1" applyFont="1" applyFill="1" applyBorder="1" applyProtection="1"/>
    <xf numFmtId="0" fontId="74" fillId="0" borderId="0" xfId="883" applyFont="1" applyFill="1" applyAlignment="1" applyProtection="1"/>
    <xf numFmtId="0" fontId="110" fillId="0" borderId="0" xfId="883" applyFont="1" applyFill="1" applyAlignment="1" applyProtection="1">
      <alignment vertical="top"/>
    </xf>
    <xf numFmtId="0" fontId="111" fillId="0" borderId="0" xfId="883" applyFont="1" applyFill="1" applyAlignment="1" applyProtection="1">
      <alignment vertical="top"/>
    </xf>
    <xf numFmtId="43" fontId="111" fillId="0" borderId="0" xfId="535" applyFont="1" applyFill="1" applyAlignment="1" applyProtection="1">
      <alignment vertical="top"/>
    </xf>
    <xf numFmtId="173" fontId="7" fillId="0" borderId="0" xfId="198" applyNumberFormat="1" applyFont="1" applyFill="1" applyBorder="1" applyProtection="1"/>
    <xf numFmtId="43" fontId="111" fillId="0" borderId="0" xfId="535" applyFont="1" applyFill="1" applyProtection="1"/>
    <xf numFmtId="170" fontId="5" fillId="0" borderId="15" xfId="883" applyNumberFormat="1" applyFont="1" applyFill="1" applyBorder="1" applyAlignment="1" applyProtection="1">
      <alignment horizontal="right"/>
    </xf>
    <xf numFmtId="0" fontId="130" fillId="0" borderId="0" xfId="883" applyFont="1" applyFill="1" applyProtection="1"/>
    <xf numFmtId="0" fontId="9" fillId="0" borderId="0" xfId="883" applyFont="1" applyFill="1" applyBorder="1" applyAlignment="1" applyProtection="1">
      <alignment horizontal="center"/>
    </xf>
    <xf numFmtId="0" fontId="12" fillId="0" borderId="0" xfId="883" applyFont="1" applyFill="1" applyBorder="1" applyProtection="1"/>
    <xf numFmtId="3" fontId="8" fillId="0" borderId="0" xfId="0" applyNumberFormat="1" applyFont="1" applyFill="1" applyAlignment="1" applyProtection="1"/>
    <xf numFmtId="0" fontId="13" fillId="0" borderId="0" xfId="0" applyFont="1" applyFill="1" applyAlignment="1" applyProtection="1">
      <alignment horizontal="center"/>
    </xf>
    <xf numFmtId="3" fontId="6" fillId="0" borderId="0" xfId="0" applyNumberFormat="1" applyFont="1" applyFill="1" applyAlignment="1" applyProtection="1"/>
    <xf numFmtId="1" fontId="12" fillId="0" borderId="0" xfId="0" applyNumberFormat="1" applyFont="1" applyFill="1" applyAlignment="1" applyProtection="1">
      <alignment horizontal="center"/>
    </xf>
    <xf numFmtId="0" fontId="13" fillId="0" borderId="0" xfId="0" applyFont="1" applyFill="1" applyAlignment="1" applyProtection="1"/>
    <xf numFmtId="43" fontId="77" fillId="27" borderId="0" xfId="198" applyFont="1" applyFill="1" applyBorder="1" applyProtection="1"/>
    <xf numFmtId="0" fontId="12" fillId="0" borderId="0" xfId="0" applyFont="1" applyFill="1" applyAlignment="1" applyProtection="1">
      <alignment horizontal="right"/>
    </xf>
    <xf numFmtId="5" fontId="12" fillId="0" borderId="14" xfId="198" applyNumberFormat="1" applyFont="1" applyFill="1" applyBorder="1" applyAlignment="1" applyProtection="1"/>
    <xf numFmtId="173" fontId="12" fillId="0" borderId="0" xfId="198" applyNumberFormat="1" applyFont="1" applyFill="1" applyAlignment="1" applyProtection="1"/>
    <xf numFmtId="0" fontId="7" fillId="0" borderId="0" xfId="0" applyFont="1" applyAlignment="1" applyProtection="1"/>
    <xf numFmtId="0" fontId="80" fillId="0" borderId="0" xfId="0" applyFont="1" applyAlignment="1" applyProtection="1">
      <alignment vertical="center"/>
    </xf>
    <xf numFmtId="0" fontId="195" fillId="0" borderId="0" xfId="0" applyFont="1" applyFill="1" applyAlignment="1" applyProtection="1">
      <alignment horizontal="left"/>
    </xf>
    <xf numFmtId="0" fontId="195" fillId="0" borderId="0" xfId="0" applyFont="1" applyFill="1" applyProtection="1"/>
    <xf numFmtId="1" fontId="4" fillId="27" borderId="38" xfId="198" applyNumberFormat="1" applyFont="1" applyFill="1" applyBorder="1" applyAlignment="1" applyProtection="1">
      <alignment horizontal="center" wrapText="1"/>
    </xf>
    <xf numFmtId="0" fontId="195" fillId="0" borderId="0" xfId="0" applyFont="1" applyFill="1" applyBorder="1" applyAlignment="1" applyProtection="1">
      <alignment horizontal="center" wrapText="1"/>
    </xf>
    <xf numFmtId="0" fontId="195" fillId="0" borderId="38" xfId="0" applyFont="1" applyFill="1" applyBorder="1" applyAlignment="1" applyProtection="1">
      <alignment horizontal="center" wrapText="1"/>
    </xf>
    <xf numFmtId="0" fontId="195" fillId="0" borderId="0" xfId="0" applyFont="1" applyFill="1" applyAlignment="1" applyProtection="1">
      <alignment horizontal="right"/>
    </xf>
    <xf numFmtId="1" fontId="84" fillId="27" borderId="0" xfId="198" applyNumberFormat="1" applyFont="1" applyFill="1" applyBorder="1" applyAlignment="1" applyProtection="1">
      <alignment horizontal="center"/>
    </xf>
    <xf numFmtId="0" fontId="195" fillId="0" borderId="28" xfId="0" applyFont="1" applyFill="1" applyBorder="1" applyAlignment="1" applyProtection="1">
      <alignment horizontal="center" wrapText="1"/>
    </xf>
    <xf numFmtId="0" fontId="195" fillId="0" borderId="28" xfId="0" applyFont="1" applyFill="1" applyBorder="1" applyProtection="1"/>
    <xf numFmtId="170" fontId="195" fillId="0" borderId="0" xfId="0" applyNumberFormat="1" applyFont="1" applyFill="1" applyAlignment="1" applyProtection="1">
      <alignment horizontal="right"/>
    </xf>
    <xf numFmtId="170" fontId="195" fillId="0" borderId="0" xfId="0" applyNumberFormat="1" applyFont="1" applyFill="1" applyProtection="1"/>
    <xf numFmtId="0" fontId="4" fillId="0" borderId="0" xfId="0" applyNumberFormat="1" applyFont="1" applyAlignment="1" applyProtection="1">
      <alignment horizontal="center"/>
    </xf>
    <xf numFmtId="170" fontId="7" fillId="0" borderId="0" xfId="0" applyNumberFormat="1" applyFont="1" applyFill="1" applyProtection="1"/>
    <xf numFmtId="0" fontId="195" fillId="0" borderId="0" xfId="0" applyNumberFormat="1" applyFont="1" applyFill="1" applyAlignment="1" applyProtection="1">
      <alignment horizontal="right"/>
    </xf>
    <xf numFmtId="173" fontId="195" fillId="0" borderId="0" xfId="0" applyNumberFormat="1" applyFont="1" applyFill="1" applyProtection="1"/>
    <xf numFmtId="0" fontId="195" fillId="0" borderId="0" xfId="0" applyNumberFormat="1" applyFont="1" applyFill="1" applyAlignment="1" applyProtection="1">
      <alignment horizontal="center"/>
    </xf>
    <xf numFmtId="0" fontId="195" fillId="0" borderId="0" xfId="0" applyFont="1" applyFill="1" applyAlignment="1" applyProtection="1">
      <alignment horizontal="center"/>
    </xf>
    <xf numFmtId="173" fontId="195" fillId="0" borderId="6" xfId="0" applyNumberFormat="1" applyFont="1" applyFill="1" applyBorder="1" applyProtection="1"/>
    <xf numFmtId="0" fontId="195" fillId="0" borderId="6" xfId="0" applyFont="1" applyFill="1" applyBorder="1" applyAlignment="1" applyProtection="1">
      <alignment horizontal="center"/>
    </xf>
    <xf numFmtId="0" fontId="7" fillId="0" borderId="6" xfId="0" applyFont="1" applyFill="1" applyBorder="1" applyProtection="1"/>
    <xf numFmtId="173" fontId="195" fillId="0" borderId="0" xfId="0" applyNumberFormat="1" applyFont="1" applyFill="1" applyAlignment="1" applyProtection="1">
      <alignment horizontal="left"/>
    </xf>
    <xf numFmtId="0" fontId="81" fillId="0" borderId="0" xfId="0" applyNumberFormat="1" applyFont="1" applyFill="1" applyAlignment="1" applyProtection="1">
      <alignment horizontal="center" wrapText="1"/>
    </xf>
    <xf numFmtId="0" fontId="81" fillId="0" borderId="0" xfId="0" applyFont="1" applyFill="1" applyAlignment="1" applyProtection="1">
      <alignment horizontal="center" wrapText="1"/>
    </xf>
    <xf numFmtId="173" fontId="81" fillId="0" borderId="0" xfId="0" applyNumberFormat="1" applyFont="1" applyFill="1" applyAlignment="1" applyProtection="1">
      <alignment horizontal="center" wrapText="1"/>
    </xf>
    <xf numFmtId="0" fontId="81" fillId="0" borderId="0" xfId="0" applyFont="1" applyFill="1" applyAlignment="1" applyProtection="1">
      <alignment horizontal="center"/>
    </xf>
    <xf numFmtId="173" fontId="81" fillId="0" borderId="0" xfId="0" applyNumberFormat="1" applyFont="1" applyFill="1" applyAlignment="1" applyProtection="1">
      <alignment horizontal="center"/>
    </xf>
    <xf numFmtId="0" fontId="81" fillId="0" borderId="0" xfId="0" applyNumberFormat="1" applyFont="1" applyFill="1" applyAlignment="1" applyProtection="1">
      <alignment horizontal="left"/>
    </xf>
    <xf numFmtId="175" fontId="195" fillId="0" borderId="0" xfId="912" applyNumberFormat="1" applyFont="1" applyFill="1" applyProtection="1"/>
    <xf numFmtId="0" fontId="196" fillId="0" borderId="0" xfId="0" applyFont="1" applyFill="1" applyAlignment="1" applyProtection="1">
      <alignment horizontal="center"/>
    </xf>
    <xf numFmtId="0" fontId="197" fillId="0" borderId="0" xfId="0" applyFont="1" applyFill="1" applyAlignment="1" applyProtection="1">
      <alignment horizontal="left"/>
    </xf>
    <xf numFmtId="14" fontId="195" fillId="0" borderId="0" xfId="0" applyNumberFormat="1" applyFont="1" applyFill="1" applyAlignment="1" applyProtection="1">
      <alignment horizontal="left"/>
    </xf>
    <xf numFmtId="173" fontId="81" fillId="0" borderId="0" xfId="202" applyNumberFormat="1" applyFont="1" applyFill="1" applyProtection="1"/>
    <xf numFmtId="173" fontId="7" fillId="0" borderId="0" xfId="202" applyNumberFormat="1" applyFont="1" applyFill="1" applyProtection="1"/>
    <xf numFmtId="173" fontId="81" fillId="0" borderId="0" xfId="202" applyNumberFormat="1" applyFont="1" applyFill="1" applyBorder="1" applyAlignment="1" applyProtection="1">
      <alignment horizontal="center"/>
    </xf>
    <xf numFmtId="10" fontId="4" fillId="0" borderId="0" xfId="900" applyNumberFormat="1" applyFont="1" applyProtection="1"/>
    <xf numFmtId="0" fontId="196" fillId="0" borderId="0" xfId="0" applyFont="1" applyFill="1" applyProtection="1"/>
    <xf numFmtId="173" fontId="81" fillId="0" borderId="0" xfId="202" applyNumberFormat="1" applyFont="1" applyFill="1" applyAlignment="1" applyProtection="1">
      <alignment horizontal="center"/>
    </xf>
    <xf numFmtId="0" fontId="197" fillId="0" borderId="0" xfId="0" applyFont="1" applyFill="1" applyProtection="1"/>
    <xf numFmtId="173" fontId="81" fillId="0" borderId="0" xfId="0" applyNumberFormat="1" applyFont="1" applyFill="1" applyProtection="1"/>
    <xf numFmtId="43" fontId="4" fillId="0" borderId="0" xfId="0" applyNumberFormat="1" applyFont="1" applyProtection="1"/>
    <xf numFmtId="14" fontId="195" fillId="0" borderId="6" xfId="0" applyNumberFormat="1" applyFont="1" applyFill="1" applyBorder="1" applyAlignment="1" applyProtection="1">
      <alignment horizontal="left"/>
    </xf>
    <xf numFmtId="0" fontId="195" fillId="0" borderId="6" xfId="0" applyFont="1" applyFill="1" applyBorder="1" applyProtection="1"/>
    <xf numFmtId="0" fontId="195" fillId="0" borderId="2" xfId="0" applyFont="1" applyFill="1" applyBorder="1" applyProtection="1"/>
    <xf numFmtId="0" fontId="7" fillId="0" borderId="2" xfId="0" applyFont="1" applyFill="1" applyBorder="1" applyProtection="1"/>
    <xf numFmtId="173" fontId="7" fillId="0" borderId="2" xfId="202" applyNumberFormat="1" applyFont="1" applyFill="1" applyBorder="1" applyProtection="1"/>
    <xf numFmtId="0" fontId="195" fillId="0" borderId="0" xfId="0" applyFont="1" applyFill="1" applyBorder="1" applyProtection="1"/>
    <xf numFmtId="0" fontId="7" fillId="0" borderId="0" xfId="0" applyFont="1" applyFill="1" applyBorder="1" applyProtection="1"/>
    <xf numFmtId="173" fontId="7" fillId="0" borderId="0" xfId="202" applyNumberFormat="1" applyFont="1" applyFill="1" applyBorder="1" applyProtection="1"/>
    <xf numFmtId="0" fontId="195" fillId="0" borderId="11" xfId="0" applyFont="1" applyFill="1" applyBorder="1" applyProtection="1"/>
    <xf numFmtId="0" fontId="7" fillId="0" borderId="11" xfId="0" applyFont="1" applyFill="1" applyBorder="1" applyProtection="1"/>
    <xf numFmtId="173" fontId="7" fillId="0" borderId="11" xfId="202" applyNumberFormat="1" applyFont="1" applyFill="1" applyBorder="1" applyProtection="1"/>
    <xf numFmtId="0" fontId="195" fillId="0" borderId="0" xfId="0" applyFont="1" applyFill="1" applyAlignment="1" applyProtection="1">
      <alignment wrapText="1"/>
    </xf>
    <xf numFmtId="43" fontId="4" fillId="0" borderId="0" xfId="775" applyNumberFormat="1" applyFont="1" applyFill="1" applyBorder="1" applyProtection="1"/>
    <xf numFmtId="0" fontId="8" fillId="0" borderId="0" xfId="0" applyFont="1" applyFill="1" applyAlignment="1" applyProtection="1"/>
    <xf numFmtId="0" fontId="196" fillId="0" borderId="0" xfId="0" applyFont="1" applyFill="1" applyAlignment="1" applyProtection="1">
      <alignment horizontal="left"/>
    </xf>
    <xf numFmtId="0" fontId="4" fillId="0" borderId="2" xfId="0" applyFont="1" applyBorder="1" applyProtection="1"/>
    <xf numFmtId="0" fontId="4" fillId="0" borderId="0" xfId="0" applyFont="1" applyBorder="1" applyProtection="1"/>
    <xf numFmtId="0" fontId="4" fillId="0" borderId="11" xfId="0" applyFont="1" applyBorder="1" applyProtection="1"/>
    <xf numFmtId="179" fontId="8" fillId="0" borderId="0" xfId="198" applyNumberFormat="1" applyFont="1" applyFill="1" applyAlignment="1" applyProtection="1"/>
    <xf numFmtId="41" fontId="7" fillId="27" borderId="0" xfId="1176" applyNumberFormat="1" applyFont="1" applyFill="1" applyProtection="1"/>
    <xf numFmtId="41" fontId="7" fillId="0" borderId="0" xfId="1176" applyNumberFormat="1" applyFont="1" applyFill="1" applyProtection="1"/>
    <xf numFmtId="0" fontId="157" fillId="0" borderId="0" xfId="1528" applyNumberFormat="1" applyFont="1" applyAlignment="1" applyProtection="1"/>
    <xf numFmtId="0" fontId="4" fillId="0" borderId="0" xfId="1528" applyFont="1" applyAlignment="1" applyProtection="1"/>
    <xf numFmtId="0" fontId="7" fillId="0" borderId="0" xfId="1409" applyFont="1" applyFill="1" applyBorder="1" applyAlignment="1" applyProtection="1"/>
    <xf numFmtId="0" fontId="4" fillId="0" borderId="0" xfId="1528" applyNumberFormat="1" applyFont="1" applyAlignment="1" applyProtection="1">
      <alignment horizontal="center"/>
    </xf>
    <xf numFmtId="0" fontId="4" fillId="0" borderId="0" xfId="1528" applyFont="1" applyAlignment="1" applyProtection="1">
      <alignment horizontal="right"/>
    </xf>
    <xf numFmtId="0" fontId="8" fillId="0" borderId="0" xfId="1409" applyFont="1" applyFill="1" applyBorder="1" applyAlignment="1" applyProtection="1"/>
    <xf numFmtId="0" fontId="9" fillId="0" borderId="0" xfId="1173" applyFont="1" applyAlignment="1" applyProtection="1">
      <alignment horizontal="centerContinuous"/>
    </xf>
    <xf numFmtId="0" fontId="4" fillId="0" borderId="0" xfId="1173" applyFont="1" applyFill="1" applyAlignment="1" applyProtection="1">
      <alignment horizontal="left"/>
    </xf>
    <xf numFmtId="0" fontId="9" fillId="0" borderId="0" xfId="1173" applyFont="1" applyAlignment="1" applyProtection="1">
      <alignment horizontal="center"/>
    </xf>
    <xf numFmtId="0" fontId="4" fillId="0" borderId="0" xfId="1528" applyFont="1" applyProtection="1"/>
    <xf numFmtId="0" fontId="4" fillId="0" borderId="53" xfId="1528" applyNumberFormat="1" applyFont="1" applyBorder="1" applyAlignment="1" applyProtection="1">
      <alignment horizontal="center" wrapText="1"/>
    </xf>
    <xf numFmtId="0" fontId="9" fillId="0" borderId="52" xfId="1173" applyFont="1" applyBorder="1" applyAlignment="1" applyProtection="1">
      <alignment horizontal="center" wrapText="1"/>
    </xf>
    <xf numFmtId="0" fontId="9" fillId="0" borderId="51" xfId="1173" applyFont="1" applyBorder="1" applyAlignment="1" applyProtection="1">
      <alignment horizontal="center" wrapText="1"/>
    </xf>
    <xf numFmtId="0" fontId="9" fillId="0" borderId="0" xfId="1173" applyFont="1" applyBorder="1" applyAlignment="1" applyProtection="1">
      <alignment horizontal="center" wrapText="1"/>
    </xf>
    <xf numFmtId="0" fontId="9" fillId="0" borderId="50" xfId="1173" applyFont="1" applyBorder="1" applyAlignment="1" applyProtection="1">
      <alignment horizontal="center" wrapText="1"/>
    </xf>
    <xf numFmtId="0" fontId="4" fillId="0" borderId="0" xfId="1528" applyFont="1" applyAlignment="1" applyProtection="1">
      <alignment wrapText="1"/>
    </xf>
    <xf numFmtId="0" fontId="4" fillId="0" borderId="51" xfId="1528" applyNumberFormat="1" applyFont="1" applyBorder="1" applyAlignment="1" applyProtection="1">
      <alignment horizontal="center"/>
    </xf>
    <xf numFmtId="0" fontId="9" fillId="0" borderId="50" xfId="1173" applyFont="1" applyBorder="1" applyAlignment="1" applyProtection="1">
      <alignment horizontal="center"/>
    </xf>
    <xf numFmtId="0" fontId="9" fillId="0" borderId="51" xfId="1173" applyFont="1" applyBorder="1" applyAlignment="1" applyProtection="1">
      <alignment horizontal="center"/>
    </xf>
    <xf numFmtId="0" fontId="9" fillId="0" borderId="0" xfId="1173" applyFont="1" applyBorder="1" applyAlignment="1" applyProtection="1">
      <alignment horizontal="center"/>
    </xf>
    <xf numFmtId="0" fontId="159" fillId="0" borderId="0" xfId="1528" applyFont="1" applyAlignment="1" applyProtection="1"/>
    <xf numFmtId="3" fontId="20" fillId="0" borderId="49" xfId="1409" applyNumberFormat="1" applyFont="1" applyFill="1" applyBorder="1" applyAlignment="1" applyProtection="1">
      <alignment horizontal="center" wrapText="1"/>
    </xf>
    <xf numFmtId="3" fontId="20" fillId="0" borderId="11" xfId="1409" applyNumberFormat="1" applyFont="1" applyFill="1" applyBorder="1" applyAlignment="1" applyProtection="1">
      <alignment horizontal="center" wrapText="1"/>
    </xf>
    <xf numFmtId="3" fontId="20" fillId="0" borderId="48" xfId="1409" applyNumberFormat="1" applyFont="1" applyFill="1" applyBorder="1" applyAlignment="1" applyProtection="1">
      <alignment horizontal="center" wrapText="1"/>
    </xf>
    <xf numFmtId="0" fontId="4" fillId="0" borderId="50" xfId="1173" quotePrefix="1" applyFont="1" applyBorder="1" applyAlignment="1" applyProtection="1">
      <alignment horizontal="left"/>
    </xf>
    <xf numFmtId="0" fontId="4" fillId="0" borderId="50" xfId="1173" applyFont="1" applyBorder="1" applyProtection="1"/>
    <xf numFmtId="0" fontId="4" fillId="0" borderId="49" xfId="1528" applyNumberFormat="1" applyFont="1" applyBorder="1" applyAlignment="1" applyProtection="1">
      <alignment horizontal="center"/>
    </xf>
    <xf numFmtId="0" fontId="4" fillId="0" borderId="48" xfId="1173" applyFont="1" applyBorder="1" applyProtection="1"/>
    <xf numFmtId="0" fontId="4" fillId="0" borderId="66" xfId="1528" applyNumberFormat="1" applyFont="1" applyBorder="1" applyAlignment="1" applyProtection="1">
      <alignment horizontal="center"/>
    </xf>
    <xf numFmtId="173" fontId="4" fillId="0" borderId="66" xfId="1201" applyNumberFormat="1" applyFont="1" applyBorder="1" applyProtection="1"/>
    <xf numFmtId="173" fontId="4" fillId="0" borderId="15" xfId="1201" applyNumberFormat="1" applyFont="1" applyBorder="1" applyProtection="1"/>
    <xf numFmtId="173" fontId="4" fillId="0" borderId="67" xfId="1201" applyNumberFormat="1" applyFont="1" applyBorder="1" applyProtection="1"/>
    <xf numFmtId="0" fontId="4" fillId="0" borderId="0" xfId="1173" applyFont="1" applyProtection="1"/>
    <xf numFmtId="37" fontId="4" fillId="0" borderId="0" xfId="1173" applyNumberFormat="1" applyFont="1" applyProtection="1"/>
    <xf numFmtId="3" fontId="20" fillId="0" borderId="0" xfId="1409" applyNumberFormat="1" applyFont="1" applyFill="1" applyBorder="1" applyAlignment="1" applyProtection="1">
      <alignment horizontal="center" wrapText="1"/>
    </xf>
    <xf numFmtId="0" fontId="4" fillId="0" borderId="0" xfId="1523" applyFont="1" applyProtection="1"/>
    <xf numFmtId="0" fontId="9" fillId="0" borderId="0" xfId="1173" applyFont="1" applyProtection="1"/>
    <xf numFmtId="0" fontId="4" fillId="0" borderId="0" xfId="1528" applyNumberFormat="1" applyFont="1" applyBorder="1" applyAlignment="1" applyProtection="1">
      <alignment horizontal="center" wrapText="1"/>
    </xf>
    <xf numFmtId="0" fontId="9" fillId="0" borderId="11" xfId="1173" applyFont="1" applyBorder="1" applyProtection="1"/>
    <xf numFmtId="0" fontId="9" fillId="0" borderId="11" xfId="1173" applyFont="1" applyBorder="1" applyAlignment="1" applyProtection="1">
      <alignment horizontal="center" wrapText="1"/>
    </xf>
    <xf numFmtId="0" fontId="9" fillId="0" borderId="2" xfId="1173" applyFont="1" applyBorder="1" applyAlignment="1" applyProtection="1">
      <alignment horizontal="center"/>
    </xf>
    <xf numFmtId="0" fontId="4" fillId="0" borderId="0" xfId="1528" applyAlignment="1" applyProtection="1">
      <alignment horizontal="center"/>
    </xf>
    <xf numFmtId="0" fontId="4" fillId="0" borderId="15" xfId="1528" applyFont="1" applyBorder="1" applyAlignment="1" applyProtection="1"/>
    <xf numFmtId="173" fontId="4" fillId="0" borderId="15" xfId="1528" applyNumberFormat="1" applyFont="1" applyBorder="1" applyAlignment="1" applyProtection="1"/>
    <xf numFmtId="0" fontId="159" fillId="0" borderId="0" xfId="1528" applyNumberFormat="1" applyFont="1" applyAlignment="1" applyProtection="1">
      <alignment horizontal="center"/>
    </xf>
    <xf numFmtId="0" fontId="13" fillId="0" borderId="0" xfId="1528" applyNumberFormat="1" applyFont="1" applyAlignment="1" applyProtection="1">
      <alignment horizontal="center"/>
    </xf>
    <xf numFmtId="0" fontId="4" fillId="0" borderId="0" xfId="1528" applyProtection="1"/>
    <xf numFmtId="0" fontId="4" fillId="0" borderId="48" xfId="1173" applyFont="1" applyBorder="1" applyAlignment="1" applyProtection="1">
      <alignment horizontal="left"/>
    </xf>
    <xf numFmtId="0" fontId="9" fillId="0" borderId="0" xfId="1173" applyFont="1" applyBorder="1" applyAlignment="1" applyProtection="1">
      <alignment wrapText="1"/>
    </xf>
    <xf numFmtId="10" fontId="15" fillId="0" borderId="0" xfId="1429" applyNumberFormat="1" applyFont="1" applyFill="1" applyAlignment="1" applyProtection="1">
      <alignment horizontal="center"/>
    </xf>
    <xf numFmtId="0" fontId="54" fillId="0" borderId="11" xfId="1409" applyFont="1" applyFill="1" applyBorder="1" applyProtection="1"/>
    <xf numFmtId="173" fontId="54" fillId="0" borderId="11" xfId="1201" applyNumberFormat="1" applyFont="1" applyFill="1" applyBorder="1" applyAlignment="1" applyProtection="1">
      <alignment horizontal="center"/>
    </xf>
    <xf numFmtId="0" fontId="54" fillId="0" borderId="0" xfId="1409" applyFont="1" applyAlignment="1" applyProtection="1">
      <alignment horizontal="center"/>
    </xf>
    <xf numFmtId="0" fontId="31" fillId="0" borderId="0" xfId="1409" applyFont="1" applyAlignment="1" applyProtection="1"/>
    <xf numFmtId="0" fontId="54" fillId="0" borderId="0" xfId="1409" applyFont="1" applyProtection="1"/>
    <xf numFmtId="0" fontId="157" fillId="0" borderId="0" xfId="878" applyFont="1" applyFill="1" applyAlignment="1" applyProtection="1"/>
    <xf numFmtId="0" fontId="4" fillId="0" borderId="0" xfId="878" applyFont="1" applyFill="1" applyAlignment="1" applyProtection="1">
      <alignment horizontal="center"/>
    </xf>
    <xf numFmtId="0" fontId="4" fillId="0" borderId="0" xfId="878" applyFont="1" applyFill="1" applyProtection="1"/>
    <xf numFmtId="0" fontId="11" fillId="0" borderId="0" xfId="0" applyFont="1" applyFill="1" applyAlignment="1" applyProtection="1">
      <alignment horizontal="center"/>
    </xf>
    <xf numFmtId="0" fontId="9" fillId="0" borderId="0" xfId="878" applyFont="1" applyFill="1" applyBorder="1" applyAlignment="1" applyProtection="1">
      <alignment horizontal="left"/>
    </xf>
    <xf numFmtId="9" fontId="9" fillId="0" borderId="0" xfId="878" applyNumberFormat="1" applyFont="1" applyFill="1" applyAlignment="1" applyProtection="1">
      <alignment horizontal="center"/>
    </xf>
    <xf numFmtId="0" fontId="31" fillId="0" borderId="0" xfId="878" applyFont="1" applyFill="1" applyAlignment="1" applyProtection="1">
      <alignment horizontal="left"/>
    </xf>
    <xf numFmtId="0" fontId="10" fillId="0" borderId="0" xfId="878" applyFont="1" applyFill="1" applyAlignment="1" applyProtection="1">
      <alignment horizontal="left"/>
    </xf>
    <xf numFmtId="0" fontId="10" fillId="0" borderId="0" xfId="878" applyFont="1" applyFill="1" applyAlignment="1" applyProtection="1">
      <alignment horizontal="center"/>
    </xf>
    <xf numFmtId="38" fontId="4" fillId="0" borderId="0" xfId="0" quotePrefix="1" applyNumberFormat="1" applyFont="1" applyFill="1" applyBorder="1" applyAlignment="1" applyProtection="1">
      <alignment horizontal="center"/>
    </xf>
    <xf numFmtId="41" fontId="4" fillId="0" borderId="0" xfId="878" applyNumberFormat="1" applyFont="1" applyFill="1" applyBorder="1" applyProtection="1"/>
    <xf numFmtId="0" fontId="4" fillId="0" borderId="0" xfId="878" applyFont="1" applyFill="1" applyAlignment="1" applyProtection="1">
      <alignment horizontal="center" vertical="top"/>
    </xf>
    <xf numFmtId="0" fontId="16" fillId="0" borderId="0" xfId="878" applyFont="1" applyFill="1" applyAlignment="1" applyProtection="1">
      <alignment horizontal="center"/>
    </xf>
    <xf numFmtId="41" fontId="4" fillId="0" borderId="11" xfId="878" applyNumberFormat="1" applyFont="1" applyFill="1" applyBorder="1" applyProtection="1"/>
    <xf numFmtId="41" fontId="4" fillId="0" borderId="11" xfId="878" applyNumberFormat="1" applyFont="1" applyFill="1" applyBorder="1" applyAlignment="1" applyProtection="1">
      <alignment vertical="top"/>
    </xf>
    <xf numFmtId="41" fontId="4" fillId="0" borderId="0" xfId="878" applyNumberFormat="1" applyFont="1" applyFill="1" applyProtection="1"/>
    <xf numFmtId="37" fontId="4" fillId="0" borderId="0" xfId="878" applyNumberFormat="1" applyFont="1" applyFill="1" applyProtection="1"/>
    <xf numFmtId="37" fontId="4" fillId="0" borderId="0" xfId="0" applyNumberFormat="1" applyFont="1" applyFill="1" applyProtection="1"/>
    <xf numFmtId="38" fontId="4" fillId="0" borderId="0" xfId="0" applyNumberFormat="1" applyFont="1" applyFill="1" applyProtection="1"/>
    <xf numFmtId="0" fontId="83" fillId="0" borderId="0" xfId="878" applyFont="1" applyFill="1" applyAlignment="1" applyProtection="1">
      <alignment horizontal="center"/>
    </xf>
    <xf numFmtId="0" fontId="9" fillId="0" borderId="0" xfId="1176" quotePrefix="1" applyFont="1" applyFill="1" applyBorder="1" applyProtection="1"/>
    <xf numFmtId="41" fontId="83" fillId="0" borderId="0" xfId="878" applyNumberFormat="1" applyFont="1" applyFill="1" applyProtection="1"/>
    <xf numFmtId="37" fontId="4" fillId="0" borderId="14" xfId="0" applyNumberFormat="1" applyFont="1" applyFill="1" applyBorder="1" applyProtection="1"/>
    <xf numFmtId="0" fontId="11" fillId="0" borderId="0" xfId="878" applyFont="1" applyFill="1" applyAlignment="1" applyProtection="1">
      <alignment horizontal="center"/>
    </xf>
    <xf numFmtId="0" fontId="9" fillId="0" borderId="0" xfId="878" applyFont="1" applyFill="1" applyBorder="1" applyAlignment="1" applyProtection="1">
      <alignment vertical="center"/>
    </xf>
    <xf numFmtId="37" fontId="4" fillId="0" borderId="0" xfId="878" applyNumberFormat="1" applyFont="1" applyFill="1" applyAlignment="1" applyProtection="1">
      <alignment vertical="center"/>
    </xf>
    <xf numFmtId="0" fontId="8" fillId="0" borderId="0" xfId="878" applyFont="1" applyFill="1" applyAlignment="1" applyProtection="1">
      <alignment horizontal="center"/>
    </xf>
    <xf numFmtId="37" fontId="4" fillId="0" borderId="0" xfId="878" applyNumberFormat="1" applyFont="1" applyFill="1" applyBorder="1" applyProtection="1"/>
    <xf numFmtId="185" fontId="4" fillId="0" borderId="0" xfId="0" quotePrefix="1" applyNumberFormat="1" applyFont="1" applyFill="1" applyBorder="1" applyAlignment="1" applyProtection="1">
      <alignment horizontal="center"/>
    </xf>
    <xf numFmtId="0" fontId="4" fillId="0" borderId="0" xfId="878" applyFont="1" applyFill="1" applyAlignment="1" applyProtection="1"/>
    <xf numFmtId="0" fontId="90" fillId="0" borderId="0" xfId="878" applyFont="1" applyFill="1" applyAlignment="1" applyProtection="1">
      <alignment horizontal="center"/>
    </xf>
    <xf numFmtId="185" fontId="4" fillId="0" borderId="0" xfId="0" applyNumberFormat="1" applyFont="1" applyFill="1" applyBorder="1" applyAlignment="1" applyProtection="1">
      <alignment horizontal="center"/>
    </xf>
    <xf numFmtId="38" fontId="4" fillId="0" borderId="0" xfId="0" applyNumberFormat="1" applyFont="1" applyFill="1" applyBorder="1" applyAlignment="1" applyProtection="1">
      <alignment horizontal="left"/>
    </xf>
    <xf numFmtId="173" fontId="4" fillId="27" borderId="0" xfId="198" applyNumberFormat="1" applyFont="1" applyFill="1" applyBorder="1" applyProtection="1"/>
    <xf numFmtId="43" fontId="4" fillId="0" borderId="0" xfId="198" applyFont="1" applyFill="1" applyProtection="1"/>
    <xf numFmtId="173" fontId="4" fillId="0" borderId="0" xfId="198" applyNumberFormat="1" applyFont="1" applyFill="1" applyProtection="1"/>
    <xf numFmtId="43" fontId="84" fillId="27" borderId="0" xfId="1201" applyFont="1" applyFill="1" applyBorder="1" applyProtection="1"/>
    <xf numFmtId="43" fontId="4" fillId="0" borderId="0" xfId="1201" applyFont="1" applyFill="1" applyBorder="1" applyProtection="1"/>
    <xf numFmtId="173" fontId="84" fillId="27" borderId="0" xfId="1201" applyNumberFormat="1" applyFont="1" applyFill="1" applyBorder="1" applyProtection="1"/>
    <xf numFmtId="43" fontId="84" fillId="27" borderId="0" xfId="1201" applyFont="1" applyFill="1" applyBorder="1" applyAlignment="1" applyProtection="1">
      <alignment horizontal="center"/>
    </xf>
    <xf numFmtId="37" fontId="4" fillId="0" borderId="0" xfId="1201" applyNumberFormat="1" applyFont="1" applyFill="1" applyProtection="1"/>
    <xf numFmtId="43" fontId="84" fillId="27" borderId="0" xfId="1201" applyFont="1" applyFill="1" applyBorder="1" applyAlignment="1" applyProtection="1">
      <alignment horizontal="left"/>
    </xf>
    <xf numFmtId="43" fontId="4" fillId="0" borderId="0" xfId="1529" applyBorder="1" applyProtection="1"/>
    <xf numFmtId="43" fontId="4" fillId="0" borderId="0" xfId="198" applyFont="1" applyFill="1" applyBorder="1" applyProtection="1"/>
    <xf numFmtId="0" fontId="4" fillId="0" borderId="0" xfId="0" quotePrefix="1" applyFont="1" applyFill="1" applyBorder="1" applyAlignment="1" applyProtection="1">
      <alignment horizontal="left" wrapText="1"/>
    </xf>
    <xf numFmtId="37" fontId="4" fillId="0" borderId="0" xfId="0" applyNumberFormat="1" applyFont="1" applyFill="1" applyAlignment="1" applyProtection="1">
      <alignment horizontal="left"/>
    </xf>
    <xf numFmtId="37" fontId="4" fillId="0" borderId="0" xfId="198" applyNumberFormat="1" applyFont="1" applyFill="1" applyProtection="1"/>
    <xf numFmtId="43" fontId="4" fillId="0" borderId="0" xfId="1530" applyFill="1" applyBorder="1" applyProtection="1"/>
    <xf numFmtId="0" fontId="156" fillId="27" borderId="0" xfId="0" applyFont="1" applyFill="1" applyBorder="1" applyProtection="1"/>
    <xf numFmtId="43" fontId="156" fillId="0" borderId="0" xfId="1531" applyFont="1" applyFill="1" applyBorder="1" applyProtection="1"/>
    <xf numFmtId="37" fontId="156" fillId="0" borderId="0" xfId="1201" applyNumberFormat="1" applyFont="1" applyFill="1" applyProtection="1"/>
    <xf numFmtId="173" fontId="4" fillId="0" borderId="0" xfId="0" applyNumberFormat="1" applyFont="1" applyFill="1" applyProtection="1"/>
    <xf numFmtId="43" fontId="4" fillId="0" borderId="0" xfId="1531" applyFill="1" applyBorder="1" applyProtection="1"/>
    <xf numFmtId="1" fontId="4" fillId="0" borderId="0" xfId="0" applyNumberFormat="1" applyFont="1" applyFill="1" applyAlignment="1" applyProtection="1">
      <alignment horizontal="left"/>
    </xf>
    <xf numFmtId="173" fontId="84" fillId="0" borderId="0" xfId="1201" applyNumberFormat="1" applyFont="1" applyFill="1" applyBorder="1" applyProtection="1"/>
    <xf numFmtId="173" fontId="4" fillId="0" borderId="0" xfId="198" applyNumberFormat="1" applyFont="1" applyFill="1" applyBorder="1" applyProtection="1"/>
    <xf numFmtId="37" fontId="4" fillId="0" borderId="0" xfId="1183" applyNumberFormat="1" applyFill="1" applyProtection="1"/>
    <xf numFmtId="37" fontId="4" fillId="0" borderId="0" xfId="1183" applyNumberFormat="1" applyFill="1" applyBorder="1" applyProtection="1"/>
    <xf numFmtId="43" fontId="160" fillId="0" borderId="0" xfId="1529" applyFont="1" applyBorder="1" applyProtection="1"/>
    <xf numFmtId="37" fontId="79" fillId="0" borderId="0" xfId="1183" applyNumberFormat="1" applyFont="1" applyFill="1" applyProtection="1"/>
    <xf numFmtId="37" fontId="4" fillId="0" borderId="0" xfId="0" applyNumberFormat="1" applyFont="1" applyFill="1" applyAlignment="1" applyProtection="1">
      <alignment horizontal="center"/>
    </xf>
    <xf numFmtId="37" fontId="84" fillId="27" borderId="0" xfId="1183" applyNumberFormat="1" applyFont="1" applyFill="1" applyProtection="1"/>
    <xf numFmtId="43" fontId="160" fillId="0" borderId="0" xfId="1531" applyFont="1" applyFill="1" applyBorder="1" applyProtection="1"/>
    <xf numFmtId="37" fontId="160" fillId="0" borderId="0" xfId="1201" applyNumberFormat="1" applyFont="1" applyFill="1" applyProtection="1"/>
    <xf numFmtId="0" fontId="4" fillId="0" borderId="0" xfId="0" quotePrefix="1" applyFont="1" applyFill="1" applyBorder="1" applyAlignment="1" applyProtection="1">
      <alignment horizontal="left"/>
    </xf>
    <xf numFmtId="43" fontId="4" fillId="0" borderId="0" xfId="1183" applyBorder="1" applyProtection="1"/>
    <xf numFmtId="37" fontId="4" fillId="0" borderId="0" xfId="198" applyNumberFormat="1" applyFont="1" applyFill="1" applyBorder="1" applyProtection="1"/>
    <xf numFmtId="0" fontId="18" fillId="0" borderId="0" xfId="1409" applyFont="1" applyFill="1" applyBorder="1" applyAlignment="1" applyProtection="1"/>
    <xf numFmtId="3" fontId="4" fillId="0" borderId="0" xfId="1532" applyFont="1" applyFill="1" applyBorder="1" applyProtection="1"/>
    <xf numFmtId="3" fontId="4" fillId="0" borderId="0" xfId="1532" applyFont="1" applyFill="1" applyBorder="1" applyAlignment="1" applyProtection="1">
      <alignment wrapText="1"/>
    </xf>
    <xf numFmtId="3" fontId="4" fillId="0" borderId="0" xfId="1532" applyFont="1" applyFill="1" applyBorder="1" applyAlignment="1" applyProtection="1">
      <alignment horizontal="left" wrapText="1"/>
    </xf>
    <xf numFmtId="3" fontId="13" fillId="0" borderId="0" xfId="1532" applyFont="1" applyFill="1" applyBorder="1" applyAlignment="1" applyProtection="1">
      <alignment horizontal="left"/>
    </xf>
    <xf numFmtId="3" fontId="4" fillId="0" borderId="0" xfId="1532" applyFont="1" applyFill="1" applyBorder="1" applyAlignment="1" applyProtection="1">
      <alignment horizontal="center"/>
    </xf>
    <xf numFmtId="3" fontId="4" fillId="0" borderId="0" xfId="1532" applyFont="1" applyFill="1" applyBorder="1" applyAlignment="1" applyProtection="1">
      <alignment horizontal="left"/>
    </xf>
    <xf numFmtId="3" fontId="4" fillId="0" borderId="2" xfId="1532" applyFont="1" applyFill="1" applyBorder="1" applyAlignment="1" applyProtection="1">
      <alignment horizontal="right" wrapText="1"/>
    </xf>
    <xf numFmtId="3" fontId="4" fillId="0" borderId="0" xfId="1532" applyFont="1" applyFill="1" applyBorder="1" applyAlignment="1" applyProtection="1">
      <alignment horizontal="right" wrapText="1"/>
    </xf>
    <xf numFmtId="3" fontId="123" fillId="0" borderId="0" xfId="1532" applyFont="1" applyFill="1" applyBorder="1" applyAlignment="1" applyProtection="1">
      <alignment horizontal="center" vertical="top" wrapText="1"/>
    </xf>
    <xf numFmtId="3" fontId="124" fillId="0" borderId="0" xfId="1532" applyFont="1" applyFill="1" applyBorder="1" applyAlignment="1" applyProtection="1">
      <alignment horizontal="center"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center" wrapText="1"/>
    </xf>
    <xf numFmtId="10" fontId="71" fillId="0" borderId="0" xfId="999" applyNumberFormat="1" applyFont="1" applyFill="1" applyBorder="1" applyAlignment="1" applyProtection="1">
      <alignment wrapText="1"/>
    </xf>
    <xf numFmtId="173" fontId="4" fillId="0" borderId="0" xfId="198" applyNumberFormat="1" applyFont="1" applyFill="1" applyBorder="1" applyAlignment="1" applyProtection="1">
      <alignment wrapText="1"/>
    </xf>
    <xf numFmtId="3" fontId="4" fillId="0" borderId="0" xfId="1532" applyFont="1" applyFill="1" applyBorder="1" applyAlignment="1" applyProtection="1">
      <alignment vertical="top"/>
    </xf>
    <xf numFmtId="3" fontId="4" fillId="0" borderId="15" xfId="1532" applyFont="1" applyFill="1" applyBorder="1" applyAlignment="1" applyProtection="1">
      <alignment vertical="top"/>
    </xf>
    <xf numFmtId="174" fontId="71" fillId="0" borderId="15" xfId="603" applyNumberFormat="1" applyFont="1" applyFill="1" applyBorder="1" applyAlignment="1" applyProtection="1">
      <alignment wrapText="1"/>
    </xf>
    <xf numFmtId="43" fontId="189" fillId="0" borderId="0" xfId="198" applyNumberFormat="1" applyFont="1" applyProtection="1"/>
    <xf numFmtId="0" fontId="157" fillId="0" borderId="0" xfId="1409" applyFont="1" applyFill="1" applyBorder="1" applyAlignment="1" applyProtection="1"/>
    <xf numFmtId="0" fontId="4" fillId="0" borderId="0" xfId="1409" applyFont="1" applyFill="1" applyBorder="1" applyProtection="1"/>
    <xf numFmtId="0" fontId="54" fillId="0" borderId="0" xfId="1409" applyFont="1" applyFill="1" applyBorder="1" applyProtection="1"/>
    <xf numFmtId="0" fontId="7" fillId="0" borderId="0" xfId="1409" applyFont="1" applyFill="1" applyBorder="1" applyAlignment="1" applyProtection="1">
      <alignment horizontal="center"/>
    </xf>
    <xf numFmtId="0" fontId="4" fillId="0" borderId="0" xfId="1409" applyFont="1" applyFill="1" applyBorder="1" applyAlignment="1" applyProtection="1"/>
    <xf numFmtId="0" fontId="9" fillId="0" borderId="0" xfId="1409" applyFont="1" applyFill="1" applyBorder="1" applyAlignment="1" applyProtection="1">
      <alignment horizontal="center"/>
    </xf>
    <xf numFmtId="0" fontId="9" fillId="0" borderId="0" xfId="1409" applyFont="1" applyFill="1" applyBorder="1" applyAlignment="1" applyProtection="1">
      <alignment horizontal="left"/>
    </xf>
    <xf numFmtId="0" fontId="9" fillId="0" borderId="0" xfId="1409" applyNumberFormat="1" applyFont="1" applyFill="1" applyBorder="1" applyAlignment="1" applyProtection="1">
      <alignment horizontal="left"/>
    </xf>
    <xf numFmtId="0" fontId="9" fillId="0" borderId="0" xfId="1409" applyFont="1" applyFill="1" applyBorder="1" applyAlignment="1" applyProtection="1"/>
    <xf numFmtId="3" fontId="13" fillId="0" borderId="0" xfId="1409" applyNumberFormat="1" applyFont="1" applyFill="1" applyBorder="1" applyAlignment="1" applyProtection="1">
      <alignment horizontal="center"/>
    </xf>
    <xf numFmtId="0" fontId="9" fillId="0" borderId="0" xfId="1409" applyNumberFormat="1" applyFont="1" applyFill="1" applyBorder="1" applyAlignment="1" applyProtection="1">
      <alignment horizontal="center"/>
    </xf>
    <xf numFmtId="0" fontId="4" fillId="0" borderId="0" xfId="1409" applyFont="1" applyFill="1" applyBorder="1" applyAlignment="1" applyProtection="1">
      <alignment horizontal="center" wrapText="1"/>
    </xf>
    <xf numFmtId="0" fontId="4" fillId="0" borderId="0" xfId="1409" applyNumberFormat="1" applyFont="1" applyFill="1" applyBorder="1" applyAlignment="1" applyProtection="1">
      <alignment horizontal="center"/>
    </xf>
    <xf numFmtId="0" fontId="17" fillId="0" borderId="0" xfId="1409" applyFont="1" applyFill="1" applyBorder="1" applyAlignment="1" applyProtection="1">
      <alignment horizontal="center"/>
    </xf>
    <xf numFmtId="173" fontId="13" fillId="0" borderId="0" xfId="1201" applyNumberFormat="1" applyFont="1" applyFill="1" applyBorder="1" applyAlignment="1" applyProtection="1">
      <alignment horizontal="right"/>
    </xf>
    <xf numFmtId="173" fontId="4" fillId="0" borderId="0" xfId="1201" applyNumberFormat="1" applyFont="1" applyFill="1" applyBorder="1" applyAlignment="1" applyProtection="1">
      <alignment horizontal="left"/>
    </xf>
    <xf numFmtId="0" fontId="17" fillId="0" borderId="0" xfId="1409" applyFont="1" applyFill="1" applyBorder="1" applyAlignment="1" applyProtection="1">
      <alignment horizontal="center" wrapText="1"/>
    </xf>
    <xf numFmtId="0" fontId="4" fillId="0" borderId="14" xfId="1409" applyFont="1" applyFill="1" applyBorder="1" applyAlignment="1" applyProtection="1">
      <alignment horizontal="center" wrapText="1"/>
    </xf>
    <xf numFmtId="173" fontId="4" fillId="0" borderId="0" xfId="1201" applyNumberFormat="1" applyFont="1" applyFill="1" applyBorder="1" applyAlignment="1" applyProtection="1">
      <alignment horizontal="right"/>
    </xf>
    <xf numFmtId="173" fontId="4" fillId="0" borderId="0" xfId="198" applyNumberFormat="1" applyFont="1" applyFill="1" applyBorder="1" applyAlignment="1" applyProtection="1">
      <alignment horizontal="center" wrapText="1"/>
    </xf>
    <xf numFmtId="3" fontId="4" fillId="0" borderId="0" xfId="1409" applyNumberFormat="1" applyFont="1" applyFill="1" applyBorder="1" applyAlignment="1" applyProtection="1"/>
    <xf numFmtId="37" fontId="4" fillId="0" borderId="0" xfId="1183" applyNumberFormat="1" applyProtection="1"/>
    <xf numFmtId="173" fontId="4" fillId="0" borderId="0" xfId="198" applyNumberFormat="1" applyFont="1" applyFill="1" applyBorder="1" applyAlignment="1" applyProtection="1"/>
    <xf numFmtId="173" fontId="84" fillId="66" borderId="0" xfId="1201" applyNumberFormat="1" applyFont="1" applyFill="1" applyBorder="1" applyProtection="1"/>
    <xf numFmtId="0" fontId="4" fillId="0" borderId="0" xfId="878" applyFont="1" applyFill="1" applyAlignment="1" applyProtection="1">
      <alignment horizontal="left"/>
    </xf>
    <xf numFmtId="0" fontId="4" fillId="0" borderId="0" xfId="1409" applyFont="1" applyFill="1" applyBorder="1" applyAlignment="1" applyProtection="1">
      <alignment horizontal="left"/>
    </xf>
    <xf numFmtId="37" fontId="4" fillId="0" borderId="0" xfId="1409" applyNumberFormat="1" applyFont="1" applyBorder="1" applyProtection="1"/>
    <xf numFmtId="37" fontId="84" fillId="27" borderId="0" xfId="1201" applyNumberFormat="1" applyFont="1" applyFill="1" applyProtection="1"/>
    <xf numFmtId="37" fontId="4" fillId="61" borderId="0" xfId="1183" applyNumberFormat="1" applyFill="1" applyProtection="1"/>
    <xf numFmtId="0" fontId="84" fillId="27" borderId="0" xfId="0" quotePrefix="1" applyNumberFormat="1" applyFont="1" applyFill="1" applyAlignment="1" applyProtection="1">
      <alignment horizontal="left"/>
    </xf>
    <xf numFmtId="0" fontId="84" fillId="27" borderId="0" xfId="0" quotePrefix="1" applyFont="1" applyFill="1" applyAlignment="1" applyProtection="1">
      <alignment horizontal="left"/>
    </xf>
    <xf numFmtId="37" fontId="4" fillId="0" borderId="0" xfId="1183" applyNumberFormat="1" applyFont="1" applyFill="1" applyProtection="1"/>
    <xf numFmtId="37" fontId="4" fillId="0" borderId="0" xfId="1409" applyNumberFormat="1" applyFont="1" applyFill="1" applyBorder="1" applyProtection="1"/>
    <xf numFmtId="37" fontId="4" fillId="61" borderId="0" xfId="1183" applyNumberFormat="1" applyFont="1" applyFill="1" applyProtection="1"/>
    <xf numFmtId="37" fontId="84" fillId="0" borderId="0" xfId="1201" applyNumberFormat="1" applyFont="1" applyFill="1" applyProtection="1"/>
    <xf numFmtId="0" fontId="4" fillId="0" borderId="0" xfId="1409" applyFont="1" applyBorder="1" applyProtection="1"/>
    <xf numFmtId="1" fontId="84" fillId="27" borderId="0" xfId="0" applyNumberFormat="1" applyFont="1" applyFill="1" applyAlignment="1" applyProtection="1">
      <alignment horizontal="left"/>
    </xf>
    <xf numFmtId="0" fontId="156" fillId="27" borderId="0" xfId="0" applyNumberFormat="1" applyFont="1" applyFill="1" applyAlignment="1" applyProtection="1">
      <alignment horizontal="left"/>
    </xf>
    <xf numFmtId="37" fontId="156" fillId="0" borderId="0" xfId="1409" applyNumberFormat="1" applyFont="1" applyBorder="1" applyProtection="1"/>
    <xf numFmtId="37" fontId="156" fillId="0" borderId="0" xfId="1183" applyNumberFormat="1" applyFont="1" applyFill="1" applyProtection="1"/>
    <xf numFmtId="37" fontId="156" fillId="0" borderId="0" xfId="1409" applyNumberFormat="1" applyFont="1" applyFill="1" applyBorder="1" applyProtection="1"/>
    <xf numFmtId="173" fontId="83" fillId="0" borderId="0" xfId="1201" applyNumberFormat="1" applyFont="1" applyFill="1" applyProtection="1"/>
    <xf numFmtId="37" fontId="83" fillId="0" borderId="0" xfId="1201" applyNumberFormat="1" applyFont="1" applyFill="1" applyProtection="1"/>
    <xf numFmtId="37" fontId="83" fillId="0" borderId="0" xfId="1409" applyNumberFormat="1" applyFont="1" applyFill="1" applyBorder="1" applyProtection="1"/>
    <xf numFmtId="38" fontId="4" fillId="0" borderId="17" xfId="0" applyNumberFormat="1" applyFont="1" applyFill="1" applyBorder="1" applyProtection="1"/>
    <xf numFmtId="37" fontId="4" fillId="0" borderId="17" xfId="0" applyNumberFormat="1" applyFont="1" applyFill="1" applyBorder="1" applyProtection="1"/>
    <xf numFmtId="173" fontId="4" fillId="0" borderId="17" xfId="198" applyNumberFormat="1" applyFont="1" applyFill="1" applyBorder="1" applyProtection="1"/>
    <xf numFmtId="38" fontId="4" fillId="0" borderId="0" xfId="0" quotePrefix="1" applyNumberFormat="1" applyFont="1" applyFill="1" applyBorder="1" applyAlignment="1" applyProtection="1">
      <alignment horizontal="right"/>
    </xf>
    <xf numFmtId="37" fontId="4" fillId="0" borderId="0" xfId="0" applyNumberFormat="1" applyFont="1" applyFill="1" applyBorder="1" applyProtection="1"/>
    <xf numFmtId="0" fontId="4" fillId="0" borderId="0" xfId="1409" applyNumberFormat="1" applyFont="1" applyFill="1" applyBorder="1" applyAlignment="1" applyProtection="1">
      <alignment horizontal="center" vertical="top"/>
    </xf>
    <xf numFmtId="0" fontId="4" fillId="0" borderId="0" xfId="1409" applyFont="1" applyFill="1" applyBorder="1" applyAlignment="1" applyProtection="1">
      <alignment horizontal="center"/>
    </xf>
    <xf numFmtId="0" fontId="4" fillId="0" borderId="0" xfId="0" applyFont="1" applyFill="1" applyAlignment="1" applyProtection="1">
      <alignment horizontal="left"/>
    </xf>
    <xf numFmtId="0" fontId="4" fillId="0" borderId="0" xfId="0" quotePrefix="1" applyFont="1" applyFill="1" applyAlignment="1" applyProtection="1">
      <alignment horizontal="left"/>
    </xf>
    <xf numFmtId="173" fontId="4" fillId="0" borderId="11" xfId="0" applyNumberFormat="1" applyFont="1" applyFill="1" applyBorder="1" applyProtection="1"/>
    <xf numFmtId="173" fontId="4" fillId="0" borderId="14" xfId="0" applyNumberFormat="1" applyFont="1" applyFill="1" applyBorder="1" applyProtection="1"/>
    <xf numFmtId="174" fontId="4" fillId="0" borderId="0" xfId="198" applyNumberFormat="1" applyFont="1" applyFill="1" applyProtection="1"/>
    <xf numFmtId="174" fontId="4" fillId="0" borderId="0" xfId="0" applyNumberFormat="1" applyFont="1" applyFill="1" applyProtection="1"/>
    <xf numFmtId="0" fontId="17" fillId="0" borderId="0" xfId="1176" applyFont="1" applyAlignment="1" applyProtection="1">
      <alignment horizontal="center"/>
    </xf>
    <xf numFmtId="3" fontId="4" fillId="0" borderId="0" xfId="881" applyNumberFormat="1" applyFont="1" applyFill="1" applyAlignment="1" applyProtection="1"/>
    <xf numFmtId="10" fontId="4" fillId="0" borderId="0" xfId="881" applyNumberFormat="1" applyFont="1" applyFill="1" applyAlignment="1" applyProtection="1"/>
    <xf numFmtId="167" fontId="4" fillId="0" borderId="0" xfId="881" applyNumberFormat="1" applyFont="1" applyFill="1" applyAlignment="1" applyProtection="1"/>
    <xf numFmtId="43" fontId="4" fillId="0" borderId="0" xfId="198" applyFont="1" applyFill="1" applyAlignment="1" applyProtection="1"/>
    <xf numFmtId="172" fontId="4" fillId="0" borderId="0" xfId="881" applyFont="1" applyFill="1" applyBorder="1" applyAlignment="1" applyProtection="1"/>
    <xf numFmtId="0" fontId="4" fillId="0" borderId="18" xfId="0" quotePrefix="1" applyFont="1" applyFill="1" applyBorder="1" applyAlignment="1" applyProtection="1">
      <alignment horizontal="left"/>
    </xf>
    <xf numFmtId="0" fontId="4" fillId="0" borderId="21" xfId="0" applyFont="1" applyFill="1" applyBorder="1" applyProtection="1"/>
    <xf numFmtId="0" fontId="4" fillId="0" borderId="0" xfId="198" applyNumberFormat="1" applyFont="1" applyFill="1" applyAlignment="1" applyProtection="1"/>
    <xf numFmtId="0" fontId="84" fillId="0" borderId="32" xfId="0" quotePrefix="1" applyFont="1" applyFill="1" applyBorder="1" applyAlignment="1" applyProtection="1">
      <alignment horizontal="right"/>
    </xf>
    <xf numFmtId="0" fontId="4" fillId="0" borderId="20" xfId="0" applyFont="1" applyFill="1" applyBorder="1" applyProtection="1"/>
    <xf numFmtId="10" fontId="4" fillId="0" borderId="0" xfId="881" applyNumberFormat="1" applyFont="1" applyFill="1" applyAlignment="1" applyProtection="1">
      <alignment horizontal="right"/>
    </xf>
    <xf numFmtId="172" fontId="4" fillId="0" borderId="0" xfId="881" applyFont="1" applyFill="1" applyAlignment="1" applyProtection="1"/>
    <xf numFmtId="0" fontId="4" fillId="0" borderId="0" xfId="0" applyNumberFormat="1" applyFont="1" applyFill="1" applyAlignment="1" applyProtection="1">
      <alignment horizontal="center"/>
    </xf>
    <xf numFmtId="0" fontId="4" fillId="0" borderId="0" xfId="881" quotePrefix="1" applyNumberFormat="1" applyFont="1" applyFill="1" applyBorder="1" applyAlignment="1" applyProtection="1">
      <alignment horizontal="left"/>
    </xf>
    <xf numFmtId="173" fontId="84" fillId="0" borderId="32" xfId="198" applyNumberFormat="1" applyFont="1" applyFill="1" applyBorder="1" applyProtection="1"/>
    <xf numFmtId="175" fontId="84" fillId="0" borderId="32" xfId="899" applyNumberFormat="1" applyFont="1" applyFill="1" applyBorder="1" applyProtection="1"/>
    <xf numFmtId="0" fontId="4" fillId="0" borderId="22" xfId="0" applyFont="1" applyFill="1" applyBorder="1" applyProtection="1"/>
    <xf numFmtId="0" fontId="4" fillId="0" borderId="0" xfId="881" applyNumberFormat="1" applyFont="1" applyFill="1" applyBorder="1" applyAlignment="1" applyProtection="1">
      <alignment horizontal="right"/>
    </xf>
    <xf numFmtId="10" fontId="4" fillId="0" borderId="0" xfId="0" applyNumberFormat="1" applyFont="1" applyFill="1" applyAlignment="1" applyProtection="1">
      <alignment horizontal="center"/>
    </xf>
    <xf numFmtId="10" fontId="4" fillId="0" borderId="0" xfId="899" applyNumberFormat="1" applyFont="1" applyFill="1" applyAlignment="1" applyProtection="1">
      <alignment horizontal="center"/>
    </xf>
    <xf numFmtId="10" fontId="4" fillId="0" borderId="0" xfId="899" applyNumberFormat="1" applyFont="1" applyFill="1" applyAlignment="1" applyProtection="1"/>
    <xf numFmtId="169" fontId="4" fillId="0" borderId="0" xfId="881" applyNumberFormat="1" applyFont="1" applyFill="1" applyAlignment="1" applyProtection="1"/>
    <xf numFmtId="0" fontId="4" fillId="0" borderId="19" xfId="0" applyFont="1" applyFill="1" applyBorder="1" applyAlignment="1" applyProtection="1">
      <alignment wrapText="1"/>
    </xf>
    <xf numFmtId="0" fontId="4" fillId="0" borderId="0" xfId="0" applyFont="1" applyFill="1" applyBorder="1" applyAlignment="1" applyProtection="1">
      <alignment wrapText="1"/>
    </xf>
    <xf numFmtId="0" fontId="4" fillId="0" borderId="20" xfId="0" applyFont="1" applyFill="1" applyBorder="1" applyAlignment="1" applyProtection="1">
      <alignment wrapText="1"/>
    </xf>
    <xf numFmtId="166" fontId="4" fillId="0" borderId="0" xfId="881" applyNumberFormat="1" applyFont="1" applyFill="1" applyBorder="1" applyAlignment="1" applyProtection="1">
      <alignment horizontal="center"/>
    </xf>
    <xf numFmtId="41" fontId="4" fillId="0" borderId="0" xfId="881" applyNumberFormat="1" applyFont="1" applyFill="1" applyAlignment="1" applyProtection="1"/>
    <xf numFmtId="172" fontId="4" fillId="0" borderId="19" xfId="881" applyFont="1" applyFill="1" applyBorder="1" applyAlignment="1" applyProtection="1"/>
    <xf numFmtId="3" fontId="4" fillId="0" borderId="20" xfId="881" applyNumberFormat="1" applyFont="1" applyFill="1" applyBorder="1" applyAlignment="1" applyProtection="1"/>
    <xf numFmtId="41" fontId="4" fillId="0" borderId="0" xfId="881" applyNumberFormat="1" applyFont="1" applyFill="1" applyBorder="1" applyAlignment="1" applyProtection="1">
      <alignment horizontal="center"/>
    </xf>
    <xf numFmtId="0" fontId="4" fillId="0" borderId="19" xfId="0" applyFont="1" applyFill="1" applyBorder="1" applyProtection="1"/>
    <xf numFmtId="3" fontId="4" fillId="0" borderId="0" xfId="881" applyNumberFormat="1" applyFont="1" applyFill="1" applyAlignment="1" applyProtection="1">
      <alignment horizontal="right"/>
    </xf>
    <xf numFmtId="178" fontId="4" fillId="0" borderId="0" xfId="881" applyNumberFormat="1" applyFont="1" applyFill="1" applyAlignment="1" applyProtection="1"/>
    <xf numFmtId="166" fontId="4" fillId="0" borderId="34" xfId="881" applyNumberFormat="1" applyFont="1" applyFill="1" applyBorder="1" applyAlignment="1" applyProtection="1">
      <alignment horizontal="left"/>
    </xf>
    <xf numFmtId="0" fontId="4" fillId="0" borderId="6" xfId="881" applyNumberFormat="1" applyFont="1" applyFill="1" applyBorder="1" applyAlignment="1" applyProtection="1">
      <alignment horizontal="center"/>
    </xf>
    <xf numFmtId="173" fontId="4" fillId="0" borderId="6" xfId="881" applyNumberFormat="1" applyFont="1" applyFill="1" applyBorder="1" applyAlignment="1" applyProtection="1">
      <alignment horizontal="center"/>
    </xf>
    <xf numFmtId="174" fontId="4" fillId="0" borderId="27" xfId="0" applyNumberFormat="1" applyFont="1" applyFill="1" applyBorder="1" applyProtection="1"/>
    <xf numFmtId="0" fontId="4" fillId="0" borderId="23" xfId="0" applyFont="1" applyFill="1" applyBorder="1" applyProtection="1"/>
    <xf numFmtId="10" fontId="4" fillId="0" borderId="0" xfId="881" applyNumberFormat="1" applyFont="1" applyFill="1" applyAlignment="1" applyProtection="1">
      <alignment horizontal="left"/>
    </xf>
    <xf numFmtId="41" fontId="4" fillId="0" borderId="0" xfId="881" applyNumberFormat="1" applyFont="1" applyFill="1" applyBorder="1" applyAlignment="1" applyProtection="1"/>
    <xf numFmtId="41" fontId="84" fillId="0" borderId="32" xfId="0" applyNumberFormat="1" applyFont="1" applyFill="1" applyBorder="1" applyProtection="1"/>
    <xf numFmtId="3" fontId="4" fillId="0" borderId="24" xfId="0" applyNumberFormat="1" applyFont="1" applyFill="1" applyBorder="1" applyProtection="1"/>
    <xf numFmtId="10" fontId="84" fillId="0" borderId="19" xfId="0" applyNumberFormat="1" applyFont="1" applyFill="1" applyBorder="1" applyProtection="1"/>
    <xf numFmtId="41" fontId="84" fillId="0" borderId="19" xfId="0" applyNumberFormat="1" applyFont="1" applyFill="1" applyBorder="1" applyProtection="1"/>
    <xf numFmtId="41" fontId="4" fillId="0" borderId="0" xfId="881" quotePrefix="1" applyNumberFormat="1" applyFont="1" applyFill="1" applyBorder="1" applyAlignment="1" applyProtection="1"/>
    <xf numFmtId="41" fontId="4" fillId="0" borderId="0" xfId="881" applyNumberFormat="1" applyFont="1" applyFill="1" applyBorder="1" applyAlignment="1" applyProtection="1">
      <alignment horizontal="right"/>
    </xf>
    <xf numFmtId="177" fontId="4" fillId="0" borderId="11" xfId="881" applyNumberFormat="1" applyFont="1" applyFill="1" applyBorder="1" applyAlignment="1" applyProtection="1"/>
    <xf numFmtId="164" fontId="4" fillId="0" borderId="0" xfId="881" applyNumberFormat="1" applyFont="1" applyFill="1" applyBorder="1" applyAlignment="1" applyProtection="1">
      <alignment horizontal="left"/>
    </xf>
    <xf numFmtId="41" fontId="4" fillId="0" borderId="0" xfId="881" applyNumberFormat="1" applyFont="1" applyFill="1" applyAlignment="1" applyProtection="1">
      <alignment horizontal="center"/>
    </xf>
    <xf numFmtId="3" fontId="4" fillId="0" borderId="0" xfId="881" applyNumberFormat="1" applyFont="1" applyFill="1" applyAlignment="1" applyProtection="1">
      <alignment vertical="center" wrapText="1"/>
    </xf>
    <xf numFmtId="41" fontId="4" fillId="0" borderId="0" xfId="881" applyNumberFormat="1" applyFont="1" applyFill="1" applyBorder="1" applyAlignment="1" applyProtection="1">
      <alignment vertical="center"/>
    </xf>
    <xf numFmtId="41" fontId="4" fillId="0" borderId="0" xfId="881" applyNumberFormat="1" applyFont="1" applyFill="1" applyBorder="1" applyAlignment="1" applyProtection="1">
      <alignment horizontal="center" vertical="center"/>
    </xf>
    <xf numFmtId="41" fontId="4" fillId="0" borderId="0" xfId="881" applyNumberFormat="1" applyFont="1" applyFill="1" applyAlignment="1" applyProtection="1">
      <alignment horizontal="right"/>
    </xf>
    <xf numFmtId="10" fontId="4" fillId="0" borderId="0" xfId="0" applyNumberFormat="1" applyFont="1" applyFill="1" applyBorder="1" applyProtection="1"/>
    <xf numFmtId="41" fontId="4" fillId="0" borderId="0" xfId="0" applyNumberFormat="1" applyFont="1" applyFill="1" applyProtection="1"/>
    <xf numFmtId="173" fontId="84" fillId="0" borderId="0" xfId="0" applyNumberFormat="1" applyFont="1" applyFill="1" applyBorder="1" applyProtection="1"/>
    <xf numFmtId="0" fontId="4" fillId="0" borderId="50" xfId="0" applyFont="1" applyFill="1" applyBorder="1" applyProtection="1"/>
    <xf numFmtId="0" fontId="4" fillId="0" borderId="0" xfId="0" applyFont="1" applyFill="1" applyBorder="1" applyAlignment="1" applyProtection="1"/>
    <xf numFmtId="0" fontId="4" fillId="0" borderId="48" xfId="0" applyFont="1" applyFill="1" applyBorder="1" applyProtection="1"/>
    <xf numFmtId="41" fontId="4" fillId="0" borderId="2" xfId="881" applyNumberFormat="1" applyFont="1" applyFill="1" applyBorder="1" applyAlignment="1" applyProtection="1"/>
    <xf numFmtId="3" fontId="4" fillId="0" borderId="0" xfId="881" applyNumberFormat="1" applyFont="1" applyFill="1" applyBorder="1" applyAlignment="1" applyProtection="1"/>
    <xf numFmtId="0" fontId="17" fillId="0" borderId="0" xfId="1208" quotePrefix="1" applyFont="1" applyAlignment="1" applyProtection="1">
      <alignment horizontal="left"/>
    </xf>
    <xf numFmtId="0" fontId="9" fillId="0" borderId="0" xfId="1208" applyFont="1" applyProtection="1"/>
    <xf numFmtId="0" fontId="4" fillId="0" borderId="0" xfId="881" applyNumberFormat="1" applyFont="1" applyFill="1" applyBorder="1" applyProtection="1"/>
    <xf numFmtId="0" fontId="9" fillId="0" borderId="0" xfId="1208" quotePrefix="1" applyFont="1" applyAlignment="1" applyProtection="1">
      <alignment horizontal="left"/>
    </xf>
    <xf numFmtId="0" fontId="4" fillId="0" borderId="0" xfId="1208" applyFont="1" applyProtection="1"/>
    <xf numFmtId="3" fontId="4" fillId="0" borderId="0" xfId="881" applyNumberFormat="1" applyFont="1" applyFill="1" applyBorder="1" applyAlignment="1" applyProtection="1">
      <alignment horizontal="center"/>
    </xf>
    <xf numFmtId="41" fontId="4" fillId="0" borderId="11" xfId="881" applyNumberFormat="1" applyFont="1" applyFill="1" applyBorder="1" applyAlignment="1" applyProtection="1"/>
    <xf numFmtId="10" fontId="4" fillId="0" borderId="0" xfId="881" applyNumberFormat="1" applyFont="1" applyFill="1" applyBorder="1" applyAlignment="1" applyProtection="1"/>
    <xf numFmtId="169" fontId="4" fillId="0" borderId="0" xfId="881" applyNumberFormat="1" applyFont="1" applyFill="1" applyBorder="1" applyAlignment="1" applyProtection="1"/>
    <xf numFmtId="0" fontId="4" fillId="0" borderId="0" xfId="0" applyFont="1" applyFill="1" applyBorder="1" applyAlignment="1" applyProtection="1">
      <alignment horizontal="center"/>
    </xf>
    <xf numFmtId="41" fontId="4" fillId="0" borderId="0" xfId="0" applyNumberFormat="1" applyFont="1" applyFill="1" applyBorder="1" applyProtection="1"/>
    <xf numFmtId="41" fontId="4" fillId="0" borderId="11" xfId="0" applyNumberFormat="1" applyFont="1" applyFill="1" applyBorder="1" applyProtection="1"/>
    <xf numFmtId="10" fontId="4" fillId="0" borderId="11" xfId="0" applyNumberFormat="1" applyFont="1" applyFill="1" applyBorder="1" applyProtection="1"/>
    <xf numFmtId="9" fontId="4" fillId="27" borderId="0" xfId="899" applyFont="1" applyFill="1" applyAlignment="1" applyProtection="1">
      <alignment horizontal="right"/>
    </xf>
    <xf numFmtId="9" fontId="4" fillId="0" borderId="0" xfId="899" applyFont="1" applyFill="1" applyBorder="1" applyProtection="1"/>
    <xf numFmtId="173" fontId="4" fillId="0" borderId="11" xfId="198" applyNumberFormat="1" applyFont="1" applyFill="1" applyBorder="1" applyAlignment="1" applyProtection="1"/>
    <xf numFmtId="164" fontId="4" fillId="0" borderId="0" xfId="899" applyNumberFormat="1" applyFont="1" applyFill="1" applyProtection="1"/>
    <xf numFmtId="43" fontId="4" fillId="0" borderId="0" xfId="198" applyNumberFormat="1" applyFont="1" applyFill="1" applyProtection="1"/>
    <xf numFmtId="0" fontId="4" fillId="0" borderId="0" xfId="0" applyFont="1" applyAlignment="1" applyProtection="1">
      <alignment horizontal="center"/>
    </xf>
    <xf numFmtId="10" fontId="4" fillId="0" borderId="0" xfId="0" applyNumberFormat="1" applyFont="1" applyProtection="1"/>
    <xf numFmtId="173" fontId="4" fillId="0" borderId="0" xfId="1201" applyNumberFormat="1" applyFont="1" applyProtection="1"/>
    <xf numFmtId="173" fontId="4" fillId="0" borderId="0" xfId="1201" applyNumberFormat="1" applyFont="1" applyBorder="1" applyProtection="1"/>
    <xf numFmtId="0" fontId="7" fillId="27" borderId="0" xfId="1201" applyNumberFormat="1" applyFont="1" applyFill="1" applyAlignment="1" applyProtection="1">
      <alignment horizontal="left"/>
    </xf>
    <xf numFmtId="0" fontId="4" fillId="0" borderId="17" xfId="0" applyFont="1" applyBorder="1" applyProtection="1"/>
    <xf numFmtId="173" fontId="9" fillId="0" borderId="21" xfId="1201" applyNumberFormat="1" applyFont="1" applyBorder="1" applyProtection="1"/>
    <xf numFmtId="0" fontId="7" fillId="0" borderId="0" xfId="1201" applyNumberFormat="1" applyFont="1" applyFill="1" applyAlignment="1" applyProtection="1">
      <alignment horizontal="left"/>
    </xf>
    <xf numFmtId="0" fontId="7" fillId="0" borderId="0" xfId="1201" applyNumberFormat="1" applyFont="1" applyFill="1" applyBorder="1" applyAlignment="1" applyProtection="1">
      <alignment horizontal="left"/>
    </xf>
    <xf numFmtId="0" fontId="8" fillId="0" borderId="0" xfId="1201" applyNumberFormat="1" applyFont="1" applyFill="1" applyBorder="1" applyAlignment="1" applyProtection="1">
      <alignment horizontal="left"/>
    </xf>
    <xf numFmtId="173" fontId="9" fillId="0" borderId="25" xfId="1201" applyNumberFormat="1" applyFont="1" applyBorder="1" applyProtection="1"/>
    <xf numFmtId="173" fontId="9" fillId="0" borderId="34" xfId="1201" applyNumberFormat="1" applyFont="1" applyBorder="1" applyProtection="1"/>
    <xf numFmtId="173" fontId="4" fillId="0" borderId="6" xfId="1201" applyNumberFormat="1" applyFont="1" applyBorder="1" applyProtection="1"/>
    <xf numFmtId="173" fontId="4" fillId="0" borderId="27" xfId="1201" applyNumberFormat="1" applyFont="1" applyBorder="1" applyProtection="1"/>
    <xf numFmtId="0" fontId="4" fillId="0" borderId="36" xfId="0" applyFont="1" applyFill="1" applyBorder="1" applyAlignment="1" applyProtection="1">
      <alignment horizontal="left"/>
    </xf>
    <xf numFmtId="0" fontId="4" fillId="0" borderId="0" xfId="0" applyFont="1" applyBorder="1" applyAlignment="1" applyProtection="1"/>
    <xf numFmtId="0" fontId="4" fillId="0" borderId="19" xfId="0" quotePrefix="1" applyFont="1" applyFill="1" applyBorder="1" applyAlignment="1" applyProtection="1">
      <alignment horizontal="left"/>
    </xf>
    <xf numFmtId="173" fontId="4" fillId="27" borderId="20" xfId="1201" applyNumberFormat="1" applyFont="1" applyFill="1" applyBorder="1" applyAlignment="1" applyProtection="1">
      <alignment horizontal="right"/>
    </xf>
    <xf numFmtId="0" fontId="4" fillId="0" borderId="0" xfId="0" applyFont="1" applyBorder="1" applyAlignment="1" applyProtection="1">
      <alignment horizontal="center"/>
    </xf>
    <xf numFmtId="0" fontId="4" fillId="27" borderId="20" xfId="0" applyFont="1" applyFill="1" applyBorder="1" applyAlignment="1" applyProtection="1">
      <alignment horizontal="right"/>
    </xf>
    <xf numFmtId="173" fontId="4" fillId="0" borderId="20" xfId="0" applyNumberFormat="1" applyFont="1" applyFill="1" applyBorder="1" applyAlignment="1" applyProtection="1">
      <alignment horizontal="right"/>
    </xf>
    <xf numFmtId="173" fontId="4" fillId="0" borderId="0" xfId="0" applyNumberFormat="1" applyFont="1" applyFill="1" applyBorder="1" applyAlignment="1" applyProtection="1">
      <alignment horizontal="right"/>
    </xf>
    <xf numFmtId="10" fontId="4" fillId="0" borderId="20" xfId="0" applyNumberFormat="1" applyFont="1" applyBorder="1" applyProtection="1"/>
    <xf numFmtId="10" fontId="4" fillId="0" borderId="0" xfId="0" applyNumberFormat="1" applyFont="1" applyBorder="1" applyProtection="1"/>
    <xf numFmtId="173" fontId="4" fillId="0" borderId="20" xfId="1201" applyNumberFormat="1" applyFont="1" applyBorder="1" applyProtection="1"/>
    <xf numFmtId="173" fontId="9" fillId="0" borderId="38" xfId="1201" applyNumberFormat="1" applyFont="1" applyBorder="1" applyAlignment="1" applyProtection="1">
      <alignment horizontal="center"/>
    </xf>
    <xf numFmtId="173" fontId="9" fillId="0" borderId="21" xfId="1201" quotePrefix="1" applyNumberFormat="1" applyFont="1" applyFill="1" applyBorder="1" applyAlignment="1" applyProtection="1">
      <alignment horizontal="center" wrapText="1"/>
    </xf>
    <xf numFmtId="173" fontId="9" fillId="0" borderId="21" xfId="1201" quotePrefix="1" applyNumberFormat="1" applyFont="1" applyBorder="1" applyAlignment="1" applyProtection="1">
      <alignment horizontal="center" wrapText="1"/>
    </xf>
    <xf numFmtId="173" fontId="9" fillId="0" borderId="38" xfId="1201" quotePrefix="1" applyNumberFormat="1" applyFont="1" applyBorder="1" applyAlignment="1" applyProtection="1">
      <alignment horizontal="center" wrapText="1"/>
    </xf>
    <xf numFmtId="173" fontId="9" fillId="0" borderId="38" xfId="1201" applyNumberFormat="1" applyFont="1" applyFill="1" applyBorder="1" applyAlignment="1" applyProtection="1">
      <alignment horizontal="center" wrapText="1"/>
    </xf>
    <xf numFmtId="173" fontId="9" fillId="0" borderId="38" xfId="1201" applyNumberFormat="1" applyFont="1" applyBorder="1" applyAlignment="1" applyProtection="1">
      <alignment horizontal="center" wrapText="1"/>
    </xf>
    <xf numFmtId="173" fontId="9" fillId="0" borderId="27" xfId="1201" applyNumberFormat="1" applyFont="1" applyFill="1" applyBorder="1" applyAlignment="1" applyProtection="1">
      <alignment horizontal="center"/>
    </xf>
    <xf numFmtId="173" fontId="9" fillId="0" borderId="27" xfId="1201" applyNumberFormat="1" applyFont="1" applyBorder="1" applyAlignment="1" applyProtection="1">
      <alignment horizontal="center"/>
    </xf>
    <xf numFmtId="173" fontId="9" fillId="0" borderId="39" xfId="1201" applyNumberFormat="1" applyFont="1" applyBorder="1" applyAlignment="1" applyProtection="1">
      <alignment horizontal="center"/>
    </xf>
    <xf numFmtId="173" fontId="9" fillId="0" borderId="39" xfId="1201" applyNumberFormat="1" applyFont="1" applyFill="1" applyBorder="1" applyAlignment="1" applyProtection="1">
      <alignment horizontal="center"/>
    </xf>
    <xf numFmtId="173" fontId="9" fillId="0" borderId="34" xfId="1201" applyNumberFormat="1" applyFont="1" applyFill="1" applyBorder="1" applyAlignment="1" applyProtection="1">
      <alignment horizontal="center"/>
    </xf>
    <xf numFmtId="0" fontId="4" fillId="0" borderId="28" xfId="0" applyNumberFormat="1" applyFont="1" applyBorder="1" applyAlignment="1" applyProtection="1">
      <alignment horizontal="center"/>
    </xf>
    <xf numFmtId="173" fontId="4" fillId="0" borderId="0" xfId="0" applyNumberFormat="1" applyFont="1" applyBorder="1" applyProtection="1"/>
    <xf numFmtId="173" fontId="4" fillId="0" borderId="38" xfId="1201" applyNumberFormat="1" applyFont="1" applyBorder="1" applyProtection="1"/>
    <xf numFmtId="174" fontId="4" fillId="0" borderId="20" xfId="0" applyNumberFormat="1" applyFont="1" applyBorder="1" applyProtection="1"/>
    <xf numFmtId="174" fontId="4" fillId="0" borderId="38" xfId="0" applyNumberFormat="1" applyFont="1" applyFill="1" applyBorder="1" applyProtection="1"/>
    <xf numFmtId="174" fontId="4" fillId="0" borderId="38" xfId="0" applyNumberFormat="1" applyFont="1" applyBorder="1" applyProtection="1"/>
    <xf numFmtId="174" fontId="4" fillId="0" borderId="28" xfId="0" applyNumberFormat="1" applyFont="1" applyBorder="1" applyProtection="1"/>
    <xf numFmtId="173" fontId="4" fillId="0" borderId="28" xfId="0" applyNumberFormat="1" applyFont="1" applyBorder="1" applyProtection="1"/>
    <xf numFmtId="173" fontId="4" fillId="0" borderId="28" xfId="1201" applyNumberFormat="1" applyFont="1" applyBorder="1" applyProtection="1"/>
    <xf numFmtId="174" fontId="4" fillId="27" borderId="28" xfId="0" applyNumberFormat="1" applyFont="1" applyFill="1" applyBorder="1" applyProtection="1"/>
    <xf numFmtId="173" fontId="4" fillId="0" borderId="28" xfId="0" applyNumberFormat="1" applyFont="1" applyFill="1" applyBorder="1" applyProtection="1"/>
    <xf numFmtId="173" fontId="4" fillId="0" borderId="28" xfId="1201" applyNumberFormat="1" applyFont="1" applyFill="1" applyBorder="1" applyProtection="1"/>
    <xf numFmtId="0" fontId="4" fillId="0" borderId="39" xfId="0" applyNumberFormat="1" applyFont="1" applyBorder="1" applyAlignment="1" applyProtection="1">
      <alignment horizontal="center"/>
    </xf>
    <xf numFmtId="173" fontId="4" fillId="0" borderId="39" xfId="0" applyNumberFormat="1" applyFont="1" applyBorder="1" applyProtection="1"/>
    <xf numFmtId="173" fontId="4" fillId="0" borderId="39" xfId="1201" applyNumberFormat="1" applyFont="1" applyBorder="1" applyProtection="1"/>
    <xf numFmtId="173" fontId="4" fillId="0" borderId="39" xfId="1201" applyNumberFormat="1" applyFont="1" applyFill="1" applyBorder="1" applyProtection="1"/>
    <xf numFmtId="174" fontId="4" fillId="0" borderId="27" xfId="0" applyNumberFormat="1" applyFont="1" applyBorder="1" applyProtection="1"/>
    <xf numFmtId="174" fontId="4" fillId="27" borderId="39" xfId="0" applyNumberFormat="1" applyFont="1" applyFill="1" applyBorder="1" applyProtection="1"/>
    <xf numFmtId="174" fontId="4" fillId="0" borderId="39" xfId="0" applyNumberFormat="1" applyFont="1" applyBorder="1" applyProtection="1"/>
    <xf numFmtId="174" fontId="4" fillId="0" borderId="0" xfId="0" applyNumberFormat="1" applyFont="1" applyBorder="1" applyProtection="1"/>
    <xf numFmtId="173" fontId="4" fillId="0" borderId="0" xfId="0" applyNumberFormat="1" applyFont="1" applyProtection="1"/>
    <xf numFmtId="0" fontId="4" fillId="0" borderId="0" xfId="0" applyFont="1" applyAlignment="1" applyProtection="1">
      <alignment horizontal="left"/>
    </xf>
    <xf numFmtId="0" fontId="18" fillId="0" borderId="0" xfId="1409" applyFont="1" applyFill="1" applyBorder="1" applyAlignment="1" applyProtection="1">
      <alignment horizontal="center"/>
    </xf>
    <xf numFmtId="10" fontId="84" fillId="0" borderId="32" xfId="0" applyNumberFormat="1" applyFont="1" applyFill="1" applyBorder="1" applyProtection="1"/>
    <xf numFmtId="1" fontId="4" fillId="26" borderId="0" xfId="881" applyNumberFormat="1" applyFont="1" applyFill="1" applyBorder="1" applyAlignment="1" applyProtection="1">
      <alignment horizontal="center"/>
    </xf>
    <xf numFmtId="167" fontId="84" fillId="0" borderId="32" xfId="0" applyNumberFormat="1" applyFont="1" applyFill="1" applyBorder="1" applyProtection="1"/>
    <xf numFmtId="41" fontId="4" fillId="0" borderId="19" xfId="881" quotePrefix="1" applyNumberFormat="1" applyFont="1" applyFill="1" applyBorder="1" applyAlignment="1" applyProtection="1">
      <alignment horizontal="left"/>
    </xf>
    <xf numFmtId="41" fontId="4" fillId="0" borderId="0" xfId="881" quotePrefix="1" applyNumberFormat="1" applyFont="1" applyFill="1" applyBorder="1" applyAlignment="1" applyProtection="1">
      <alignment horizontal="right"/>
    </xf>
    <xf numFmtId="41" fontId="4" fillId="0" borderId="19" xfId="881" quotePrefix="1" applyNumberFormat="1" applyFont="1" applyFill="1" applyBorder="1" applyAlignment="1" applyProtection="1">
      <alignment horizontal="left" vertical="center"/>
    </xf>
    <xf numFmtId="41" fontId="4" fillId="0" borderId="0" xfId="881" quotePrefix="1" applyNumberFormat="1" applyFont="1" applyFill="1" applyBorder="1" applyAlignment="1" applyProtection="1">
      <alignment horizontal="right" vertical="center"/>
    </xf>
    <xf numFmtId="0" fontId="4" fillId="0" borderId="33" xfId="0" applyFont="1" applyFill="1" applyBorder="1" applyAlignment="1" applyProtection="1">
      <alignment horizontal="left"/>
    </xf>
    <xf numFmtId="0" fontId="4" fillId="0" borderId="30" xfId="0" applyFont="1" applyFill="1" applyBorder="1" applyAlignment="1" applyProtection="1">
      <alignment horizontal="right"/>
    </xf>
    <xf numFmtId="173" fontId="4" fillId="0" borderId="30" xfId="0" applyNumberFormat="1" applyFont="1" applyFill="1" applyBorder="1" applyProtection="1"/>
    <xf numFmtId="173" fontId="4" fillId="0" borderId="31" xfId="0" applyNumberFormat="1" applyFont="1" applyFill="1" applyBorder="1" applyProtection="1"/>
    <xf numFmtId="173" fontId="4" fillId="0" borderId="0" xfId="881" quotePrefix="1" applyNumberFormat="1" applyFont="1" applyFill="1" applyBorder="1" applyAlignment="1" applyProtection="1">
      <alignment horizontal="center"/>
    </xf>
    <xf numFmtId="174" fontId="4" fillId="0" borderId="0" xfId="0" applyNumberFormat="1" applyFont="1" applyFill="1" applyBorder="1" applyProtection="1"/>
    <xf numFmtId="0" fontId="4" fillId="0" borderId="25" xfId="0" applyFont="1" applyFill="1" applyBorder="1" applyProtection="1"/>
    <xf numFmtId="173" fontId="84" fillId="0" borderId="42" xfId="0" applyNumberFormat="1" applyFont="1" applyFill="1" applyBorder="1" applyProtection="1"/>
    <xf numFmtId="0" fontId="4" fillId="0" borderId="26" xfId="0" applyFont="1" applyFill="1" applyBorder="1" applyProtection="1"/>
    <xf numFmtId="173" fontId="84" fillId="0" borderId="33" xfId="0" applyNumberFormat="1" applyFont="1" applyFill="1" applyBorder="1" applyProtection="1"/>
    <xf numFmtId="0" fontId="4" fillId="0" borderId="27" xfId="0" applyFont="1" applyFill="1" applyBorder="1" applyProtection="1"/>
    <xf numFmtId="173" fontId="4" fillId="0" borderId="0" xfId="0" applyNumberFormat="1" applyFont="1" applyFill="1" applyBorder="1" applyProtection="1"/>
    <xf numFmtId="10" fontId="4" fillId="27" borderId="0" xfId="899" applyNumberFormat="1" applyFont="1" applyFill="1" applyAlignment="1" applyProtection="1">
      <alignment horizontal="right"/>
    </xf>
    <xf numFmtId="0" fontId="11" fillId="0" borderId="0" xfId="1208" quotePrefix="1" applyFont="1" applyAlignment="1" applyProtection="1">
      <alignment horizontal="left"/>
    </xf>
    <xf numFmtId="0" fontId="4" fillId="0" borderId="0" xfId="1208" applyFont="1" applyFill="1" applyBorder="1" applyProtection="1"/>
    <xf numFmtId="0" fontId="4" fillId="0" borderId="0" xfId="1208" applyFont="1" applyAlignment="1" applyProtection="1">
      <alignment horizontal="center"/>
    </xf>
    <xf numFmtId="10" fontId="4" fillId="0" borderId="0" xfId="1208" applyNumberFormat="1" applyFont="1" applyProtection="1"/>
    <xf numFmtId="0" fontId="4" fillId="0" borderId="0" xfId="1208" applyFont="1" applyBorder="1" applyProtection="1"/>
    <xf numFmtId="0" fontId="18" fillId="0" borderId="0" xfId="1208" applyFont="1" applyAlignment="1" applyProtection="1">
      <alignment horizontal="right"/>
    </xf>
    <xf numFmtId="0" fontId="18" fillId="0" borderId="0" xfId="1208" quotePrefix="1" applyFont="1" applyAlignment="1" applyProtection="1">
      <alignment horizontal="right"/>
    </xf>
    <xf numFmtId="0" fontId="57" fillId="0" borderId="0" xfId="1208" applyFont="1" applyFill="1" applyProtection="1"/>
    <xf numFmtId="0" fontId="8" fillId="0" borderId="0" xfId="1208" applyFont="1" applyFill="1" applyProtection="1"/>
    <xf numFmtId="1" fontId="9" fillId="0" borderId="47" xfId="1208" applyNumberFormat="1" applyFont="1" applyFill="1" applyBorder="1" applyAlignment="1" applyProtection="1">
      <alignment horizontal="center"/>
    </xf>
    <xf numFmtId="172" fontId="4" fillId="0" borderId="40" xfId="881" applyFont="1" applyBorder="1" applyAlignment="1" applyProtection="1">
      <alignment horizontal="center"/>
    </xf>
    <xf numFmtId="172" fontId="4" fillId="0" borderId="40" xfId="881" quotePrefix="1" applyFont="1" applyBorder="1" applyAlignment="1" applyProtection="1">
      <alignment horizontal="center"/>
    </xf>
    <xf numFmtId="3" fontId="4" fillId="0" borderId="41" xfId="881" applyNumberFormat="1" applyFont="1" applyBorder="1" applyAlignment="1" applyProtection="1">
      <alignment horizontal="center"/>
    </xf>
    <xf numFmtId="0" fontId="79" fillId="0" borderId="0" xfId="1208" applyFont="1" applyProtection="1"/>
    <xf numFmtId="0" fontId="4" fillId="0" borderId="38" xfId="1208" applyFont="1" applyBorder="1" applyProtection="1"/>
    <xf numFmtId="173" fontId="4" fillId="0" borderId="19" xfId="1201" quotePrefix="1" applyNumberFormat="1" applyFont="1" applyBorder="1" applyAlignment="1" applyProtection="1">
      <alignment horizontal="right"/>
    </xf>
    <xf numFmtId="173" fontId="9" fillId="0" borderId="0" xfId="1201" applyNumberFormat="1" applyFont="1" applyBorder="1" applyProtection="1"/>
    <xf numFmtId="173" fontId="4" fillId="0" borderId="20" xfId="1208" applyNumberFormat="1" applyFont="1" applyBorder="1" applyProtection="1"/>
    <xf numFmtId="0" fontId="8" fillId="0" borderId="0" xfId="1208" applyFont="1" applyAlignment="1" applyProtection="1">
      <alignment horizontal="left"/>
    </xf>
    <xf numFmtId="0" fontId="7" fillId="0" borderId="44" xfId="1201" applyNumberFormat="1" applyFont="1" applyFill="1" applyBorder="1" applyAlignment="1" applyProtection="1">
      <alignment horizontal="left"/>
    </xf>
    <xf numFmtId="173" fontId="4" fillId="0" borderId="45" xfId="1201" quotePrefix="1" applyNumberFormat="1" applyFont="1" applyBorder="1" applyAlignment="1" applyProtection="1">
      <alignment horizontal="right"/>
    </xf>
    <xf numFmtId="173" fontId="9" fillId="0" borderId="11" xfId="1201" applyNumberFormat="1" applyFont="1" applyBorder="1" applyProtection="1"/>
    <xf numFmtId="173" fontId="4" fillId="0" borderId="25" xfId="1208" applyNumberFormat="1" applyFont="1" applyBorder="1" applyProtection="1"/>
    <xf numFmtId="0" fontId="9" fillId="0" borderId="0" xfId="1208" applyFont="1" applyFill="1" applyProtection="1"/>
    <xf numFmtId="0" fontId="4" fillId="0" borderId="34" xfId="1208" quotePrefix="1" applyFont="1" applyBorder="1" applyAlignment="1" applyProtection="1">
      <alignment horizontal="right"/>
    </xf>
    <xf numFmtId="173" fontId="9" fillId="0" borderId="6" xfId="1201" applyNumberFormat="1" applyFont="1" applyFill="1" applyBorder="1" applyAlignment="1" applyProtection="1">
      <alignment horizontal="left"/>
    </xf>
    <xf numFmtId="173" fontId="9" fillId="0" borderId="27" xfId="1201" applyNumberFormat="1" applyFont="1" applyFill="1" applyBorder="1" applyAlignment="1" applyProtection="1">
      <alignment horizontal="left"/>
    </xf>
    <xf numFmtId="173" fontId="4" fillId="0" borderId="0" xfId="1208" applyNumberFormat="1" applyFont="1" applyAlignment="1" applyProtection="1">
      <alignment horizontal="left"/>
    </xf>
    <xf numFmtId="173" fontId="4" fillId="0" borderId="0" xfId="1208" applyNumberFormat="1" applyFont="1" applyProtection="1"/>
    <xf numFmtId="0" fontId="4" fillId="0" borderId="0" xfId="1208" applyFont="1" applyFill="1" applyAlignment="1" applyProtection="1">
      <alignment wrapText="1"/>
    </xf>
    <xf numFmtId="0" fontId="4" fillId="0" borderId="0" xfId="1208" applyFont="1" applyFill="1" applyProtection="1"/>
    <xf numFmtId="0" fontId="4" fillId="0" borderId="35" xfId="1208" applyFont="1" applyFill="1" applyBorder="1" applyAlignment="1" applyProtection="1">
      <alignment horizontal="center"/>
    </xf>
    <xf numFmtId="0" fontId="4" fillId="0" borderId="36" xfId="1208" applyFont="1" applyBorder="1" applyAlignment="1" applyProtection="1"/>
    <xf numFmtId="0" fontId="4" fillId="0" borderId="0" xfId="1208" applyFont="1" applyFill="1" applyBorder="1" applyAlignment="1" applyProtection="1"/>
    <xf numFmtId="0" fontId="4" fillId="0" borderId="0" xfId="1208" applyFont="1" applyBorder="1" applyAlignment="1" applyProtection="1"/>
    <xf numFmtId="0" fontId="4" fillId="0" borderId="19" xfId="1208" quotePrefix="1" applyFont="1" applyFill="1" applyBorder="1" applyAlignment="1" applyProtection="1">
      <alignment horizontal="left"/>
    </xf>
    <xf numFmtId="0" fontId="4" fillId="0" borderId="0" xfId="1208" applyFont="1" applyBorder="1" applyAlignment="1" applyProtection="1">
      <alignment horizontal="center"/>
    </xf>
    <xf numFmtId="1" fontId="9" fillId="0" borderId="21" xfId="1208" applyNumberFormat="1" applyFont="1" applyFill="1" applyBorder="1" applyAlignment="1" applyProtection="1">
      <alignment horizontal="center"/>
    </xf>
    <xf numFmtId="0" fontId="9" fillId="0" borderId="0" xfId="1208" applyFont="1" applyFill="1" applyBorder="1" applyAlignment="1" applyProtection="1">
      <alignment horizontal="center"/>
    </xf>
    <xf numFmtId="0" fontId="4" fillId="0" borderId="19" xfId="1208" applyFont="1" applyFill="1" applyBorder="1" applyProtection="1"/>
    <xf numFmtId="173" fontId="4" fillId="0" borderId="20" xfId="1208" applyNumberFormat="1" applyFont="1" applyFill="1" applyBorder="1" applyAlignment="1" applyProtection="1">
      <alignment horizontal="right"/>
    </xf>
    <xf numFmtId="173" fontId="4" fillId="0" borderId="0" xfId="1208" applyNumberFormat="1" applyFont="1" applyFill="1" applyBorder="1" applyAlignment="1" applyProtection="1">
      <alignment horizontal="right"/>
    </xf>
    <xf numFmtId="10" fontId="4" fillId="0" borderId="20" xfId="1208" applyNumberFormat="1" applyFont="1" applyBorder="1" applyProtection="1"/>
    <xf numFmtId="10" fontId="4" fillId="0" borderId="0" xfId="1208" applyNumberFormat="1" applyFont="1" applyFill="1" applyBorder="1" applyProtection="1"/>
    <xf numFmtId="10" fontId="4" fillId="0" borderId="0" xfId="1208" applyNumberFormat="1" applyFont="1" applyBorder="1" applyProtection="1"/>
    <xf numFmtId="0" fontId="4" fillId="0" borderId="34" xfId="1208" applyFont="1" applyBorder="1" applyProtection="1"/>
    <xf numFmtId="0" fontId="4" fillId="0" borderId="6" xfId="1208" applyFont="1" applyBorder="1" applyAlignment="1" applyProtection="1">
      <alignment horizontal="center"/>
    </xf>
    <xf numFmtId="0" fontId="4" fillId="0" borderId="6" xfId="1208" applyFont="1" applyBorder="1" applyProtection="1"/>
    <xf numFmtId="0" fontId="4" fillId="0" borderId="0" xfId="1208" applyFont="1" applyAlignment="1" applyProtection="1">
      <alignment wrapText="1"/>
    </xf>
    <xf numFmtId="0" fontId="9" fillId="0" borderId="38" xfId="1208" applyFont="1" applyBorder="1" applyAlignment="1" applyProtection="1">
      <alignment horizontal="center" wrapText="1"/>
    </xf>
    <xf numFmtId="173" fontId="9" fillId="0" borderId="38" xfId="1201" applyNumberFormat="1" applyFont="1" applyFill="1" applyBorder="1" applyAlignment="1" applyProtection="1">
      <alignment horizontal="center"/>
    </xf>
    <xf numFmtId="173" fontId="9" fillId="0" borderId="38" xfId="1201" quotePrefix="1" applyNumberFormat="1" applyFont="1" applyFill="1" applyBorder="1" applyAlignment="1" applyProtection="1">
      <alignment horizontal="center" wrapText="1"/>
    </xf>
    <xf numFmtId="0" fontId="9" fillId="0" borderId="28" xfId="1208" applyFont="1" applyBorder="1" applyAlignment="1" applyProtection="1">
      <alignment horizontal="center" wrapText="1"/>
    </xf>
    <xf numFmtId="0" fontId="9" fillId="0" borderId="39" xfId="1208" applyFont="1" applyBorder="1" applyAlignment="1" applyProtection="1">
      <alignment horizontal="center"/>
    </xf>
    <xf numFmtId="0" fontId="9" fillId="0" borderId="6" xfId="1208" applyFont="1" applyFill="1" applyBorder="1" applyAlignment="1" applyProtection="1">
      <alignment horizontal="center"/>
    </xf>
    <xf numFmtId="0" fontId="9" fillId="0" borderId="39" xfId="1208" applyFont="1" applyFill="1" applyBorder="1" applyAlignment="1" applyProtection="1">
      <alignment horizontal="center"/>
    </xf>
    <xf numFmtId="0" fontId="9" fillId="0" borderId="28" xfId="1208" applyFont="1" applyFill="1" applyBorder="1" applyAlignment="1" applyProtection="1">
      <alignment horizontal="center"/>
    </xf>
    <xf numFmtId="0" fontId="4" fillId="0" borderId="28" xfId="1208" applyNumberFormat="1" applyFont="1" applyBorder="1" applyAlignment="1" applyProtection="1">
      <alignment horizontal="center"/>
    </xf>
    <xf numFmtId="173" fontId="4" fillId="0" borderId="0" xfId="1208" applyNumberFormat="1" applyFont="1" applyBorder="1" applyProtection="1"/>
    <xf numFmtId="173" fontId="4" fillId="0" borderId="28" xfId="1208" applyNumberFormat="1" applyFont="1" applyBorder="1" applyProtection="1"/>
    <xf numFmtId="173" fontId="4" fillId="0" borderId="38" xfId="1208" applyNumberFormat="1" applyFont="1" applyBorder="1" applyProtection="1"/>
    <xf numFmtId="170" fontId="4" fillId="0" borderId="28" xfId="1201" applyNumberFormat="1" applyFont="1" applyFill="1" applyBorder="1" applyProtection="1"/>
    <xf numFmtId="170" fontId="4" fillId="0" borderId="20" xfId="1201" applyNumberFormat="1" applyFont="1" applyFill="1" applyBorder="1" applyProtection="1"/>
    <xf numFmtId="174" fontId="4" fillId="0" borderId="28" xfId="1208" applyNumberFormat="1" applyFont="1" applyBorder="1" applyProtection="1"/>
    <xf numFmtId="174" fontId="4" fillId="27" borderId="38" xfId="1208" applyNumberFormat="1" applyFont="1" applyFill="1" applyBorder="1" applyProtection="1"/>
    <xf numFmtId="174" fontId="4" fillId="0" borderId="38" xfId="1208" applyNumberFormat="1" applyFont="1" applyBorder="1" applyProtection="1"/>
    <xf numFmtId="173" fontId="4" fillId="0" borderId="20" xfId="1201" applyNumberFormat="1" applyFont="1" applyFill="1" applyBorder="1" applyProtection="1"/>
    <xf numFmtId="174" fontId="4" fillId="27" borderId="28" xfId="1208" applyNumberFormat="1" applyFont="1" applyFill="1" applyBorder="1" applyProtection="1"/>
    <xf numFmtId="0" fontId="4" fillId="0" borderId="39" xfId="1208" applyNumberFormat="1" applyFont="1" applyBorder="1" applyAlignment="1" applyProtection="1">
      <alignment horizontal="center"/>
    </xf>
    <xf numFmtId="173" fontId="4" fillId="0" borderId="6" xfId="1208" applyNumberFormat="1" applyFont="1" applyBorder="1" applyProtection="1"/>
    <xf numFmtId="173" fontId="4" fillId="0" borderId="39" xfId="1208" applyNumberFormat="1" applyFont="1" applyBorder="1" applyProtection="1"/>
    <xf numFmtId="173" fontId="4" fillId="0" borderId="27" xfId="1201" applyNumberFormat="1" applyFont="1" applyFill="1" applyBorder="1" applyProtection="1"/>
    <xf numFmtId="174" fontId="4" fillId="0" borderId="39" xfId="1208" applyNumberFormat="1" applyFont="1" applyBorder="1" applyProtection="1"/>
    <xf numFmtId="174" fontId="4" fillId="27" borderId="39" xfId="1208" applyNumberFormat="1" applyFont="1" applyFill="1" applyBorder="1" applyProtection="1"/>
    <xf numFmtId="0" fontId="4" fillId="0" borderId="0" xfId="1208" quotePrefix="1" applyFont="1" applyAlignment="1" applyProtection="1">
      <alignment horizontal="left"/>
    </xf>
    <xf numFmtId="174" fontId="4" fillId="0" borderId="0" xfId="1208" applyNumberFormat="1" applyFont="1" applyBorder="1" applyProtection="1"/>
    <xf numFmtId="0" fontId="4" fillId="0" borderId="0" xfId="883" applyFont="1" applyFill="1" applyProtection="1"/>
    <xf numFmtId="173" fontId="4" fillId="0" borderId="0" xfId="883" applyNumberFormat="1" applyFont="1" applyFill="1" applyProtection="1"/>
    <xf numFmtId="43" fontId="4" fillId="0" borderId="0" xfId="535" applyFont="1" applyFill="1" applyProtection="1"/>
    <xf numFmtId="0" fontId="4" fillId="0" borderId="0" xfId="883" applyFont="1" applyFill="1" applyBorder="1" applyProtection="1"/>
    <xf numFmtId="1" fontId="4" fillId="0" borderId="0" xfId="0" applyNumberFormat="1" applyFont="1" applyFill="1" applyAlignment="1" applyProtection="1">
      <alignment horizontal="center"/>
    </xf>
    <xf numFmtId="43" fontId="4" fillId="27" borderId="0" xfId="198" applyFont="1" applyFill="1" applyBorder="1" applyProtection="1"/>
    <xf numFmtId="0" fontId="4" fillId="0" borderId="0" xfId="0" applyFont="1" applyFill="1" applyAlignment="1" applyProtection="1">
      <alignment horizontal="right"/>
    </xf>
    <xf numFmtId="5" fontId="4" fillId="0" borderId="14" xfId="198" applyNumberFormat="1" applyFont="1" applyFill="1" applyBorder="1" applyAlignment="1" applyProtection="1"/>
    <xf numFmtId="173" fontId="4" fillId="0" borderId="0" xfId="198" applyNumberFormat="1" applyFont="1" applyFill="1" applyAlignment="1" applyProtection="1"/>
    <xf numFmtId="0" fontId="15" fillId="0" borderId="0" xfId="878" applyFont="1" applyFill="1" applyAlignment="1" applyProtection="1">
      <alignment horizontal="left"/>
    </xf>
    <xf numFmtId="0" fontId="15" fillId="0" borderId="0" xfId="878" applyFont="1" applyFill="1" applyProtection="1"/>
    <xf numFmtId="0" fontId="7" fillId="0" borderId="0" xfId="878" applyFont="1" applyFill="1" applyProtection="1"/>
    <xf numFmtId="0" fontId="7" fillId="0" borderId="0" xfId="878" applyFont="1" applyFill="1" applyAlignment="1" applyProtection="1">
      <alignment horizontal="center"/>
    </xf>
    <xf numFmtId="0" fontId="7" fillId="0" borderId="0" xfId="878" applyFont="1" applyFill="1" applyAlignment="1" applyProtection="1">
      <alignment horizontal="left"/>
    </xf>
    <xf numFmtId="0" fontId="14" fillId="0" borderId="0" xfId="878" applyFont="1" applyFill="1" applyProtection="1"/>
    <xf numFmtId="0" fontId="66" fillId="0" borderId="0" xfId="878" applyFont="1" applyFill="1" applyProtection="1"/>
    <xf numFmtId="9" fontId="10" fillId="0" borderId="0" xfId="878" quotePrefix="1" applyNumberFormat="1" applyFont="1" applyFill="1" applyAlignment="1" applyProtection="1">
      <alignment horizontal="center"/>
    </xf>
    <xf numFmtId="0" fontId="81" fillId="0" borderId="0" xfId="878" applyFont="1" applyFill="1" applyBorder="1" applyProtection="1"/>
    <xf numFmtId="0" fontId="10" fillId="0" borderId="0" xfId="878" applyFont="1" applyFill="1" applyAlignment="1" applyProtection="1">
      <alignment horizontal="center" wrapText="1"/>
    </xf>
    <xf numFmtId="3" fontId="10" fillId="0" borderId="0" xfId="0" applyNumberFormat="1" applyFont="1" applyFill="1" applyAlignment="1" applyProtection="1">
      <alignment horizontal="center"/>
    </xf>
    <xf numFmtId="3" fontId="19" fillId="27" borderId="0" xfId="1183" applyNumberFormat="1" applyFont="1" applyFill="1" applyBorder="1" applyAlignment="1" applyProtection="1">
      <alignment horizontal="left"/>
    </xf>
    <xf numFmtId="43" fontId="19" fillId="27" borderId="0" xfId="1183" applyFont="1" applyFill="1" applyBorder="1" applyAlignment="1" applyProtection="1">
      <alignment horizontal="left"/>
    </xf>
    <xf numFmtId="37" fontId="19" fillId="27" borderId="0" xfId="0" quotePrefix="1" applyNumberFormat="1" applyFont="1" applyFill="1" applyAlignment="1" applyProtection="1">
      <alignment horizontal="right"/>
    </xf>
    <xf numFmtId="173" fontId="19" fillId="27" borderId="0" xfId="1183" applyNumberFormat="1" applyFont="1" applyFill="1" applyBorder="1" applyAlignment="1" applyProtection="1"/>
    <xf numFmtId="3" fontId="19" fillId="27" borderId="0" xfId="0" quotePrefix="1" applyNumberFormat="1" applyFont="1" applyFill="1" applyAlignment="1" applyProtection="1">
      <alignment horizontal="left" vertical="top" wrapText="1"/>
    </xf>
    <xf numFmtId="37" fontId="80" fillId="0" borderId="0" xfId="878" applyNumberFormat="1" applyFont="1" applyFill="1" applyProtection="1"/>
    <xf numFmtId="0" fontId="7" fillId="0" borderId="0" xfId="878" applyFont="1" applyFill="1" applyAlignment="1" applyProtection="1">
      <alignment horizontal="center" vertical="center"/>
    </xf>
    <xf numFmtId="3" fontId="19" fillId="27" borderId="0" xfId="0" quotePrefix="1" applyNumberFormat="1" applyFont="1" applyFill="1" applyAlignment="1" applyProtection="1">
      <alignment horizontal="left" vertical="top"/>
    </xf>
    <xf numFmtId="37" fontId="19" fillId="27" borderId="0" xfId="0" quotePrefix="1" applyNumberFormat="1" applyFont="1" applyFill="1" applyAlignment="1" applyProtection="1">
      <alignment horizontal="right" vertical="top"/>
    </xf>
    <xf numFmtId="3" fontId="19" fillId="27" borderId="0" xfId="0" quotePrefix="1" applyNumberFormat="1" applyFont="1" applyFill="1" applyAlignment="1" applyProtection="1">
      <alignment horizontal="left"/>
    </xf>
    <xf numFmtId="3" fontId="19" fillId="27" borderId="0" xfId="0" quotePrefix="1" applyNumberFormat="1" applyFont="1" applyFill="1" applyAlignment="1" applyProtection="1">
      <alignment horizontal="left" vertical="center"/>
    </xf>
    <xf numFmtId="173" fontId="19" fillId="27" borderId="0" xfId="1183" applyNumberFormat="1" applyFont="1" applyFill="1" applyBorder="1" applyProtection="1"/>
    <xf numFmtId="43" fontId="19" fillId="27" borderId="0" xfId="1183" applyFont="1" applyFill="1" applyBorder="1" applyProtection="1"/>
    <xf numFmtId="3" fontId="19" fillId="27" borderId="0" xfId="0" quotePrefix="1" applyNumberFormat="1" applyFont="1" applyFill="1" applyAlignment="1" applyProtection="1">
      <alignment horizontal="left" vertical="center" wrapText="1"/>
    </xf>
    <xf numFmtId="0" fontId="22" fillId="0" borderId="0" xfId="878" applyNumberFormat="1" applyFont="1" applyFill="1" applyAlignment="1" applyProtection="1">
      <alignment horizontal="left"/>
    </xf>
    <xf numFmtId="40" fontId="7" fillId="0" borderId="0" xfId="878" applyNumberFormat="1" applyFont="1" applyFill="1" applyProtection="1"/>
    <xf numFmtId="41" fontId="7" fillId="0" borderId="0" xfId="878" applyNumberFormat="1" applyFont="1" applyFill="1" applyProtection="1"/>
    <xf numFmtId="41" fontId="7" fillId="0" borderId="0" xfId="878" applyNumberFormat="1" applyFont="1" applyFill="1" applyBorder="1" applyAlignment="1" applyProtection="1">
      <alignment vertical="top"/>
    </xf>
    <xf numFmtId="180" fontId="7" fillId="0" borderId="0" xfId="878" applyNumberFormat="1" applyFont="1" applyFill="1" applyProtection="1"/>
    <xf numFmtId="0" fontId="7" fillId="0" borderId="0" xfId="878" applyNumberFormat="1" applyFont="1" applyFill="1" applyAlignment="1" applyProtection="1">
      <alignment horizontal="left"/>
    </xf>
    <xf numFmtId="0" fontId="8" fillId="0" borderId="0" xfId="878" applyFont="1" applyFill="1" applyBorder="1" applyProtection="1"/>
    <xf numFmtId="38" fontId="7" fillId="0" borderId="14" xfId="0" applyNumberFormat="1" applyFont="1" applyFill="1" applyBorder="1" applyProtection="1"/>
    <xf numFmtId="10" fontId="7" fillId="0" borderId="0" xfId="899" applyNumberFormat="1" applyFont="1" applyFill="1" applyAlignment="1" applyProtection="1">
      <alignment horizontal="right"/>
    </xf>
    <xf numFmtId="0" fontId="82" fillId="0" borderId="0" xfId="878" applyFont="1" applyFill="1" applyBorder="1" applyProtection="1"/>
    <xf numFmtId="43" fontId="7" fillId="0" borderId="0" xfId="878" applyNumberFormat="1" applyFont="1" applyFill="1" applyProtection="1"/>
    <xf numFmtId="0" fontId="7" fillId="0" borderId="0" xfId="878" applyNumberFormat="1" applyFont="1" applyFill="1" applyAlignment="1" applyProtection="1">
      <alignment horizontal="center"/>
    </xf>
    <xf numFmtId="41" fontId="19" fillId="27" borderId="0" xfId="1183" applyNumberFormat="1" applyFont="1" applyFill="1" applyBorder="1" applyProtection="1"/>
    <xf numFmtId="3" fontId="19" fillId="27" borderId="0" xfId="198" applyNumberFormat="1" applyFont="1" applyFill="1" applyBorder="1" applyProtection="1"/>
    <xf numFmtId="43" fontId="19" fillId="27" borderId="0" xfId="198" applyFont="1" applyFill="1" applyBorder="1" applyProtection="1"/>
    <xf numFmtId="41" fontId="19" fillId="27" borderId="0" xfId="198" applyNumberFormat="1" applyFont="1" applyFill="1" applyBorder="1" applyProtection="1"/>
    <xf numFmtId="37" fontId="7" fillId="0" borderId="0" xfId="878" applyNumberFormat="1" applyFont="1" applyFill="1" applyProtection="1"/>
    <xf numFmtId="37" fontId="7" fillId="0" borderId="0" xfId="878" applyNumberFormat="1" applyFont="1" applyFill="1" applyBorder="1" applyAlignment="1" applyProtection="1">
      <alignment vertical="top"/>
    </xf>
    <xf numFmtId="0" fontId="8" fillId="0" borderId="0" xfId="1176" applyFont="1" applyFill="1" applyBorder="1" applyProtection="1"/>
    <xf numFmtId="37" fontId="7" fillId="0" borderId="14" xfId="0" applyNumberFormat="1" applyFont="1" applyFill="1" applyBorder="1" applyProtection="1"/>
    <xf numFmtId="0" fontId="7" fillId="0" borderId="0" xfId="878" applyFont="1" applyFill="1" applyAlignment="1" applyProtection="1">
      <alignment horizontal="right"/>
    </xf>
    <xf numFmtId="37" fontId="7" fillId="0" borderId="0" xfId="0" applyNumberFormat="1" applyFont="1" applyFill="1" applyProtection="1"/>
    <xf numFmtId="0" fontId="8" fillId="0" borderId="0" xfId="878" applyNumberFormat="1" applyFont="1" applyFill="1" applyAlignment="1" applyProtection="1">
      <alignment horizontal="center"/>
    </xf>
    <xf numFmtId="37" fontId="8" fillId="0" borderId="0" xfId="198" applyNumberFormat="1" applyFont="1" applyFill="1" applyAlignment="1" applyProtection="1">
      <alignment horizontal="center"/>
    </xf>
    <xf numFmtId="3" fontId="19" fillId="27" borderId="0" xfId="1183" applyNumberFormat="1" applyFont="1" applyFill="1" applyBorder="1" applyProtection="1"/>
    <xf numFmtId="40" fontId="4" fillId="0" borderId="0" xfId="0" applyNumberFormat="1" applyFont="1" applyFill="1" applyProtection="1"/>
    <xf numFmtId="41" fontId="7" fillId="0" borderId="14" xfId="878" applyNumberFormat="1" applyFont="1" applyFill="1" applyBorder="1" applyProtection="1"/>
    <xf numFmtId="192" fontId="15" fillId="0" borderId="0" xfId="878" applyNumberFormat="1" applyFont="1" applyFill="1" applyProtection="1"/>
    <xf numFmtId="0" fontId="7" fillId="0" borderId="0" xfId="0" applyFont="1" applyFill="1" applyAlignment="1" applyProtection="1">
      <alignment horizontal="center" vertical="center"/>
    </xf>
    <xf numFmtId="38" fontId="15" fillId="0" borderId="0" xfId="878" applyNumberFormat="1" applyFont="1" applyFill="1" applyProtection="1"/>
    <xf numFmtId="3" fontId="15" fillId="0" borderId="0" xfId="878" applyNumberFormat="1" applyFont="1" applyFill="1" applyProtection="1"/>
    <xf numFmtId="0" fontId="18" fillId="0" borderId="0" xfId="0" applyFont="1" applyFill="1" applyProtection="1"/>
    <xf numFmtId="0" fontId="6" fillId="0" borderId="0" xfId="0" applyFont="1" applyFill="1" applyAlignment="1" applyProtection="1">
      <alignment horizontal="center"/>
    </xf>
    <xf numFmtId="0" fontId="6" fillId="0" borderId="0" xfId="0" applyFont="1" applyFill="1" applyAlignment="1" applyProtection="1">
      <alignment wrapText="1"/>
    </xf>
    <xf numFmtId="10" fontId="7" fillId="27" borderId="0" xfId="899" applyNumberFormat="1" applyFont="1" applyFill="1" applyBorder="1" applyProtection="1"/>
    <xf numFmtId="37" fontId="7" fillId="0" borderId="0" xfId="0" applyNumberFormat="1" applyFont="1" applyFill="1" applyAlignment="1" applyProtection="1">
      <alignment horizontal="center"/>
    </xf>
    <xf numFmtId="10" fontId="19" fillId="27" borderId="0" xfId="899" applyNumberFormat="1" applyFont="1" applyFill="1" applyBorder="1" applyProtection="1"/>
    <xf numFmtId="0" fontId="15" fillId="0" borderId="0" xfId="0" applyFont="1" applyFill="1" applyProtection="1"/>
    <xf numFmtId="37" fontId="7" fillId="0" borderId="0" xfId="0" applyNumberFormat="1" applyFont="1" applyFill="1" applyAlignment="1" applyProtection="1"/>
    <xf numFmtId="175" fontId="7" fillId="0" borderId="0" xfId="0" applyNumberFormat="1" applyFont="1" applyFill="1" applyBorder="1" applyAlignment="1" applyProtection="1"/>
    <xf numFmtId="175" fontId="7" fillId="0" borderId="0" xfId="0" applyNumberFormat="1" applyFont="1" applyFill="1" applyProtection="1"/>
    <xf numFmtId="37" fontId="113" fillId="0" borderId="0" xfId="0" applyNumberFormat="1" applyFont="1" applyFill="1" applyAlignment="1" applyProtection="1"/>
    <xf numFmtId="175" fontId="113" fillId="0" borderId="0" xfId="0" applyNumberFormat="1" applyFont="1" applyFill="1" applyBorder="1" applyAlignment="1" applyProtection="1"/>
    <xf numFmtId="0" fontId="113" fillId="0" borderId="0" xfId="0" applyFont="1" applyFill="1" applyProtection="1"/>
    <xf numFmtId="175" fontId="7" fillId="0" borderId="15" xfId="0" applyNumberFormat="1" applyFont="1" applyFill="1" applyBorder="1" applyAlignment="1" applyProtection="1"/>
    <xf numFmtId="191" fontId="4" fillId="0" borderId="0" xfId="0" applyNumberFormat="1" applyFont="1" applyFill="1" applyProtection="1"/>
    <xf numFmtId="37" fontId="7" fillId="0" borderId="0" xfId="0" applyNumberFormat="1" applyFont="1" applyFill="1" applyAlignment="1" applyProtection="1">
      <alignment horizontal="left"/>
    </xf>
    <xf numFmtId="41" fontId="7" fillId="0" borderId="0" xfId="0" applyNumberFormat="1" applyFont="1" applyFill="1" applyProtection="1"/>
    <xf numFmtId="10" fontId="7" fillId="0" borderId="11" xfId="899" applyNumberFormat="1" applyFont="1" applyFill="1" applyBorder="1" applyAlignment="1" applyProtection="1"/>
    <xf numFmtId="9" fontId="19" fillId="27" borderId="11" xfId="0" applyNumberFormat="1" applyFont="1" applyFill="1" applyBorder="1" applyAlignment="1" applyProtection="1"/>
    <xf numFmtId="9" fontId="19" fillId="27" borderId="11" xfId="899" applyNumberFormat="1" applyFont="1" applyFill="1" applyBorder="1" applyProtection="1"/>
    <xf numFmtId="173" fontId="7" fillId="0" borderId="0" xfId="198" applyNumberFormat="1" applyFont="1" applyFill="1" applyBorder="1" applyAlignment="1" applyProtection="1"/>
    <xf numFmtId="172" fontId="7" fillId="0" borderId="0" xfId="881" applyFont="1" applyFill="1" applyAlignment="1" applyProtection="1">
      <alignment horizontal="right"/>
    </xf>
    <xf numFmtId="173" fontId="7" fillId="0" borderId="14" xfId="198" applyNumberFormat="1" applyFont="1" applyFill="1" applyBorder="1" applyAlignment="1" applyProtection="1"/>
    <xf numFmtId="3" fontId="19" fillId="27" borderId="0" xfId="0" applyNumberFormat="1" applyFont="1" applyFill="1" applyBorder="1" applyAlignment="1" applyProtection="1"/>
    <xf numFmtId="10" fontId="7" fillId="0" borderId="14" xfId="899" applyNumberFormat="1" applyFont="1" applyFill="1" applyBorder="1" applyAlignment="1" applyProtection="1">
      <alignment horizontal="right"/>
    </xf>
    <xf numFmtId="0" fontId="157" fillId="0" borderId="0" xfId="882" applyNumberFormat="1" applyFont="1" applyFill="1" applyAlignment="1" applyProtection="1"/>
    <xf numFmtId="0" fontId="4" fillId="0" borderId="0" xfId="882" applyNumberFormat="1" applyFont="1" applyFill="1" applyProtection="1"/>
    <xf numFmtId="184" fontId="4" fillId="0" borderId="0" xfId="882" applyNumberFormat="1" applyFont="1" applyFill="1" applyProtection="1"/>
    <xf numFmtId="0" fontId="4" fillId="0" borderId="0" xfId="882" applyFont="1" applyFill="1" applyProtection="1"/>
    <xf numFmtId="0" fontId="18" fillId="0" borderId="0" xfId="882" applyNumberFormat="1" applyFont="1" applyFill="1" applyAlignment="1" applyProtection="1">
      <alignment horizontal="center"/>
    </xf>
    <xf numFmtId="0" fontId="18" fillId="0" borderId="0" xfId="882" applyNumberFormat="1" applyFont="1" applyFill="1" applyProtection="1"/>
    <xf numFmtId="0" fontId="6" fillId="0" borderId="0" xfId="882" applyNumberFormat="1" applyFont="1" applyFill="1" applyAlignment="1" applyProtection="1">
      <alignment horizontal="center"/>
    </xf>
    <xf numFmtId="0" fontId="6" fillId="0" borderId="0" xfId="882" applyNumberFormat="1" applyFont="1" applyFill="1" applyProtection="1"/>
    <xf numFmtId="184" fontId="6" fillId="0" borderId="0" xfId="882" applyNumberFormat="1" applyFont="1" applyFill="1" applyAlignment="1" applyProtection="1">
      <alignment horizontal="center"/>
    </xf>
    <xf numFmtId="0" fontId="62" fillId="0" borderId="0" xfId="882" applyFont="1" applyFill="1" applyProtection="1"/>
    <xf numFmtId="0" fontId="9" fillId="0" borderId="0" xfId="882" applyFont="1" applyFill="1" applyProtection="1"/>
    <xf numFmtId="0" fontId="6" fillId="0" borderId="11" xfId="882" applyNumberFormat="1" applyFont="1" applyFill="1" applyBorder="1" applyAlignment="1" applyProtection="1">
      <alignment horizontal="center"/>
    </xf>
    <xf numFmtId="184" fontId="6" fillId="0" borderId="11" xfId="882" applyNumberFormat="1" applyFont="1" applyFill="1" applyBorder="1" applyAlignment="1" applyProtection="1">
      <alignment horizontal="center"/>
    </xf>
    <xf numFmtId="0" fontId="62" fillId="0" borderId="11" xfId="882" applyFont="1" applyFill="1" applyBorder="1" applyAlignment="1" applyProtection="1">
      <alignment horizontal="center"/>
    </xf>
    <xf numFmtId="0" fontId="9" fillId="0" borderId="0" xfId="882" applyFont="1" applyFill="1" applyAlignment="1" applyProtection="1">
      <alignment horizontal="center"/>
    </xf>
    <xf numFmtId="0" fontId="18" fillId="0" borderId="0" xfId="882" applyNumberFormat="1" applyFont="1" applyFill="1" applyBorder="1" applyAlignment="1" applyProtection="1">
      <alignment horizontal="center"/>
    </xf>
    <xf numFmtId="184" fontId="18" fillId="0" borderId="0" xfId="882" applyNumberFormat="1" applyFont="1" applyFill="1" applyAlignment="1" applyProtection="1">
      <alignment horizontal="center"/>
    </xf>
    <xf numFmtId="0" fontId="60" fillId="0" borderId="0" xfId="882" applyFont="1" applyFill="1" applyProtection="1"/>
    <xf numFmtId="0" fontId="115" fillId="0" borderId="0" xfId="882" applyNumberFormat="1" applyFont="1" applyFill="1" applyProtection="1"/>
    <xf numFmtId="184" fontId="18" fillId="0" borderId="0" xfId="882" applyNumberFormat="1" applyFont="1" applyFill="1" applyProtection="1"/>
    <xf numFmtId="0" fontId="18" fillId="0" borderId="0" xfId="882" applyFont="1" applyFill="1" applyProtection="1"/>
    <xf numFmtId="0" fontId="61" fillId="0" borderId="0" xfId="882" applyFont="1" applyFill="1" applyProtection="1"/>
    <xf numFmtId="173" fontId="60" fillId="0" borderId="0" xfId="882" applyNumberFormat="1" applyFont="1" applyFill="1" applyBorder="1" applyProtection="1"/>
    <xf numFmtId="173" fontId="86" fillId="27" borderId="0" xfId="1183" applyNumberFormat="1" applyFont="1" applyFill="1" applyBorder="1" applyProtection="1"/>
    <xf numFmtId="0" fontId="60" fillId="0" borderId="0" xfId="882" applyFont="1" applyFill="1" applyBorder="1" applyProtection="1"/>
    <xf numFmtId="173" fontId="4" fillId="0" borderId="0" xfId="1183" applyNumberFormat="1" applyFont="1" applyFill="1" applyProtection="1"/>
    <xf numFmtId="173" fontId="86" fillId="62" borderId="0" xfId="1183" applyNumberFormat="1" applyFont="1" applyFill="1" applyBorder="1" applyProtection="1"/>
    <xf numFmtId="0" fontId="60" fillId="62" borderId="0" xfId="882" applyFont="1" applyFill="1" applyProtection="1"/>
    <xf numFmtId="173" fontId="211" fillId="27" borderId="0" xfId="1183" applyNumberFormat="1" applyFont="1" applyFill="1" applyBorder="1" applyProtection="1"/>
    <xf numFmtId="173" fontId="158" fillId="27" borderId="0" xfId="1183" applyNumberFormat="1" applyFont="1" applyFill="1" applyBorder="1" applyProtection="1"/>
    <xf numFmtId="0" fontId="18" fillId="0" borderId="0" xfId="880" applyFont="1" applyFill="1" applyAlignment="1" applyProtection="1">
      <alignment horizontal="center"/>
    </xf>
    <xf numFmtId="0" fontId="18" fillId="0" borderId="0" xfId="880" applyFont="1" applyFill="1" applyAlignment="1" applyProtection="1">
      <alignment horizontal="left" indent="2"/>
    </xf>
    <xf numFmtId="39" fontId="18" fillId="0" borderId="0" xfId="880" applyNumberFormat="1" applyFont="1" applyFill="1" applyProtection="1"/>
    <xf numFmtId="0" fontId="86" fillId="27" borderId="0" xfId="882" applyFont="1" applyFill="1" applyProtection="1"/>
    <xf numFmtId="0" fontId="211" fillId="0" borderId="0" xfId="882" applyNumberFormat="1" applyFont="1" applyFill="1" applyProtection="1"/>
    <xf numFmtId="43" fontId="60" fillId="0" borderId="0" xfId="198" applyFont="1" applyFill="1" applyProtection="1"/>
    <xf numFmtId="43" fontId="63" fillId="0" borderId="0" xfId="198" applyFont="1" applyFill="1" applyProtection="1"/>
    <xf numFmtId="173" fontId="63" fillId="0" borderId="0" xfId="198" applyNumberFormat="1" applyFont="1" applyFill="1" applyProtection="1"/>
    <xf numFmtId="173" fontId="7" fillId="0" borderId="0" xfId="198" applyNumberFormat="1" applyFont="1" applyFill="1" applyProtection="1"/>
    <xf numFmtId="173" fontId="60" fillId="0" borderId="15" xfId="198" applyNumberFormat="1" applyFont="1" applyFill="1" applyBorder="1" applyProtection="1"/>
    <xf numFmtId="0" fontId="60" fillId="0" borderId="0" xfId="882" applyFont="1" applyFill="1" applyAlignment="1" applyProtection="1">
      <alignment vertical="center"/>
    </xf>
    <xf numFmtId="0" fontId="4" fillId="0" borderId="0" xfId="0" applyFont="1" applyFill="1" applyAlignment="1" applyProtection="1">
      <alignment vertical="center"/>
    </xf>
    <xf numFmtId="173" fontId="60" fillId="61" borderId="0" xfId="882" applyNumberFormat="1" applyFont="1" applyFill="1" applyBorder="1" applyAlignment="1" applyProtection="1">
      <alignment vertical="center"/>
    </xf>
    <xf numFmtId="43" fontId="60" fillId="0" borderId="0" xfId="198" applyFont="1" applyFill="1" applyAlignment="1" applyProtection="1">
      <alignment vertical="center"/>
    </xf>
    <xf numFmtId="43" fontId="7" fillId="0" borderId="0" xfId="198" applyFont="1" applyFill="1" applyAlignment="1" applyProtection="1">
      <alignment vertical="center"/>
    </xf>
    <xf numFmtId="173" fontId="7" fillId="0" borderId="0" xfId="198" applyNumberFormat="1" applyFont="1" applyFill="1" applyAlignment="1" applyProtection="1">
      <alignment vertical="center"/>
    </xf>
    <xf numFmtId="43" fontId="63" fillId="0" borderId="0" xfId="198" applyFont="1" applyFill="1" applyAlignment="1" applyProtection="1">
      <alignment horizontal="right" vertical="center"/>
    </xf>
    <xf numFmtId="0" fontId="4" fillId="0" borderId="0" xfId="882" applyNumberFormat="1" applyFont="1" applyFill="1" applyAlignment="1" applyProtection="1">
      <alignment horizontal="center"/>
    </xf>
    <xf numFmtId="184" fontId="9" fillId="0" borderId="0" xfId="882" quotePrefix="1" applyNumberFormat="1" applyFont="1" applyFill="1" applyAlignment="1" applyProtection="1">
      <alignment horizontal="left"/>
    </xf>
    <xf numFmtId="173" fontId="60" fillId="0" borderId="13" xfId="198" applyNumberFormat="1" applyFont="1" applyFill="1" applyBorder="1" applyProtection="1"/>
    <xf numFmtId="0" fontId="15" fillId="0" borderId="0" xfId="1172" applyFont="1" applyAlignment="1" applyProtection="1"/>
    <xf numFmtId="0" fontId="15" fillId="0" borderId="0" xfId="1172" applyNumberFormat="1" applyFont="1" applyAlignment="1" applyProtection="1">
      <alignment horizontal="center"/>
    </xf>
    <xf numFmtId="0" fontId="69" fillId="0" borderId="0" xfId="1173" applyFont="1" applyAlignment="1" applyProtection="1">
      <alignment horizontal="centerContinuous"/>
    </xf>
    <xf numFmtId="0" fontId="15" fillId="0" borderId="0" xfId="1173" applyFont="1" applyFill="1" applyAlignment="1" applyProtection="1">
      <alignment horizontal="left"/>
    </xf>
    <xf numFmtId="0" fontId="69" fillId="0" borderId="0" xfId="1173" applyFont="1" applyAlignment="1" applyProtection="1">
      <alignment horizontal="center"/>
    </xf>
    <xf numFmtId="0" fontId="4" fillId="0" borderId="0" xfId="1172" applyNumberFormat="1" applyFont="1" applyAlignment="1" applyProtection="1">
      <alignment horizontal="center"/>
    </xf>
    <xf numFmtId="0" fontId="4" fillId="0" borderId="53" xfId="1172" applyNumberFormat="1" applyFont="1" applyBorder="1" applyAlignment="1" applyProtection="1">
      <alignment horizontal="center" wrapText="1"/>
    </xf>
    <xf numFmtId="0" fontId="9" fillId="0" borderId="16" xfId="1173" applyFont="1" applyBorder="1" applyAlignment="1" applyProtection="1">
      <alignment horizontal="center" wrapText="1"/>
    </xf>
    <xf numFmtId="0" fontId="15" fillId="0" borderId="0" xfId="1172" applyFont="1" applyAlignment="1" applyProtection="1">
      <alignment wrapText="1"/>
    </xf>
    <xf numFmtId="0" fontId="4" fillId="0" borderId="51" xfId="1172" applyNumberFormat="1" applyFont="1" applyBorder="1" applyAlignment="1" applyProtection="1">
      <alignment horizontal="center"/>
    </xf>
    <xf numFmtId="0" fontId="9" fillId="0" borderId="10" xfId="1173" applyFont="1" applyBorder="1" applyAlignment="1" applyProtection="1">
      <alignment horizontal="center"/>
    </xf>
    <xf numFmtId="0" fontId="161" fillId="0" borderId="0" xfId="1172" applyFont="1" applyAlignment="1" applyProtection="1"/>
    <xf numFmtId="3" fontId="20" fillId="0" borderId="49" xfId="1172" applyNumberFormat="1" applyFont="1" applyFill="1" applyBorder="1" applyAlignment="1" applyProtection="1">
      <alignment horizontal="center" wrapText="1"/>
    </xf>
    <xf numFmtId="3" fontId="20" fillId="0" borderId="11" xfId="1172" applyNumberFormat="1" applyFont="1" applyFill="1" applyBorder="1" applyAlignment="1" applyProtection="1">
      <alignment horizontal="center" wrapText="1"/>
    </xf>
    <xf numFmtId="3" fontId="20" fillId="0" borderId="69" xfId="1172" applyNumberFormat="1" applyFont="1" applyFill="1" applyBorder="1" applyAlignment="1" applyProtection="1">
      <alignment wrapText="1"/>
    </xf>
    <xf numFmtId="41" fontId="4" fillId="0" borderId="10" xfId="1173" applyNumberFormat="1" applyFont="1" applyFill="1" applyBorder="1" applyProtection="1"/>
    <xf numFmtId="41" fontId="4" fillId="66" borderId="10" xfId="1173" applyNumberFormat="1" applyFont="1" applyFill="1" applyBorder="1" applyProtection="1"/>
    <xf numFmtId="43" fontId="4" fillId="0" borderId="0" xfId="1172" applyNumberFormat="1" applyFont="1" applyProtection="1"/>
    <xf numFmtId="43" fontId="4" fillId="0" borderId="0" xfId="1172" applyNumberFormat="1" applyProtection="1"/>
    <xf numFmtId="0" fontId="4" fillId="0" borderId="49" xfId="1172" applyNumberFormat="1" applyFont="1" applyBorder="1" applyAlignment="1" applyProtection="1">
      <alignment horizontal="center"/>
    </xf>
    <xf numFmtId="0" fontId="156" fillId="0" borderId="29" xfId="1172" applyNumberFormat="1" applyFont="1" applyBorder="1" applyAlignment="1" applyProtection="1">
      <alignment horizontal="center"/>
    </xf>
    <xf numFmtId="173" fontId="4" fillId="0" borderId="66" xfId="1175" applyNumberFormat="1" applyFont="1" applyBorder="1" applyProtection="1"/>
    <xf numFmtId="173" fontId="4" fillId="0" borderId="15" xfId="1175" applyNumberFormat="1" applyFont="1" applyBorder="1" applyProtection="1"/>
    <xf numFmtId="173" fontId="4" fillId="0" borderId="68" xfId="1175" applyNumberFormat="1" applyFont="1" applyBorder="1" applyProtection="1"/>
    <xf numFmtId="3" fontId="20" fillId="0" borderId="69" xfId="1172" applyNumberFormat="1" applyFont="1" applyFill="1" applyBorder="1" applyAlignment="1" applyProtection="1">
      <alignment horizontal="center" wrapText="1"/>
    </xf>
    <xf numFmtId="0" fontId="4" fillId="0" borderId="29" xfId="1172" applyNumberFormat="1" applyFont="1" applyBorder="1" applyAlignment="1" applyProtection="1">
      <alignment horizontal="center"/>
    </xf>
    <xf numFmtId="0" fontId="15" fillId="0" borderId="0" xfId="1173" applyFont="1" applyProtection="1"/>
    <xf numFmtId="37" fontId="15" fillId="0" borderId="0" xfId="1173" applyNumberFormat="1" applyFont="1" applyProtection="1"/>
    <xf numFmtId="172" fontId="15" fillId="0" borderId="0" xfId="1124" applyFont="1" applyAlignment="1" applyProtection="1"/>
    <xf numFmtId="0" fontId="161" fillId="0" borderId="0" xfId="1172" applyNumberFormat="1" applyFont="1" applyAlignment="1" applyProtection="1">
      <alignment horizontal="center"/>
    </xf>
    <xf numFmtId="0" fontId="69" fillId="0" borderId="0" xfId="1172" applyFont="1" applyAlignment="1" applyProtection="1">
      <alignment horizontal="center"/>
    </xf>
    <xf numFmtId="0" fontId="69" fillId="0" borderId="0" xfId="1172" quotePrefix="1" applyFont="1" applyAlignment="1" applyProtection="1">
      <alignment horizontal="center"/>
    </xf>
    <xf numFmtId="43" fontId="4" fillId="0" borderId="0" xfId="1178" applyNumberFormat="1" applyProtection="1"/>
    <xf numFmtId="173" fontId="84" fillId="0" borderId="0" xfId="1175" applyNumberFormat="1" applyFont="1" applyFill="1" applyProtection="1"/>
    <xf numFmtId="0" fontId="84" fillId="27" borderId="0" xfId="1176" quotePrefix="1" applyFont="1" applyFill="1" applyAlignment="1" applyProtection="1">
      <alignment horizontal="left"/>
    </xf>
    <xf numFmtId="173" fontId="84" fillId="27" borderId="0" xfId="1184" applyNumberFormat="1" applyFont="1" applyFill="1" applyBorder="1" applyProtection="1"/>
    <xf numFmtId="0" fontId="15" fillId="0" borderId="11" xfId="1172" applyFont="1" applyBorder="1" applyAlignment="1" applyProtection="1"/>
    <xf numFmtId="175" fontId="195" fillId="0" borderId="0" xfId="1429" applyNumberFormat="1" applyFont="1" applyFill="1" applyProtection="1"/>
    <xf numFmtId="173" fontId="195" fillId="0" borderId="0" xfId="1533" applyNumberFormat="1" applyFont="1" applyFill="1" applyProtection="1"/>
    <xf numFmtId="173" fontId="195" fillId="0" borderId="0" xfId="1201" applyNumberFormat="1" applyFont="1" applyFill="1" applyProtection="1"/>
    <xf numFmtId="173" fontId="195" fillId="0" borderId="0" xfId="1533" applyNumberFormat="1" applyFont="1" applyFill="1" applyBorder="1" applyProtection="1"/>
    <xf numFmtId="173" fontId="81" fillId="0" borderId="0" xfId="1533" applyNumberFormat="1" applyFont="1" applyFill="1" applyProtection="1"/>
    <xf numFmtId="173" fontId="7" fillId="0" borderId="0" xfId="1533" applyNumberFormat="1" applyFont="1" applyFill="1" applyProtection="1"/>
    <xf numFmtId="173" fontId="81" fillId="0" borderId="0" xfId="1533" applyNumberFormat="1" applyFont="1" applyFill="1" applyBorder="1" applyAlignment="1" applyProtection="1">
      <alignment horizontal="center"/>
    </xf>
    <xf numFmtId="10" fontId="4" fillId="0" borderId="0" xfId="1534" applyNumberFormat="1" applyFont="1" applyProtection="1"/>
    <xf numFmtId="173" fontId="81" fillId="0" borderId="0" xfId="1533" applyNumberFormat="1" applyFont="1" applyFill="1" applyAlignment="1" applyProtection="1">
      <alignment horizontal="center"/>
    </xf>
    <xf numFmtId="173" fontId="195" fillId="0" borderId="6" xfId="1533" applyNumberFormat="1" applyFont="1" applyFill="1" applyBorder="1" applyProtection="1"/>
    <xf numFmtId="173" fontId="7" fillId="0" borderId="2" xfId="1533" applyNumberFormat="1" applyFont="1" applyFill="1" applyBorder="1" applyProtection="1"/>
    <xf numFmtId="173" fontId="195" fillId="0" borderId="2" xfId="1533" applyNumberFormat="1" applyFont="1" applyFill="1" applyBorder="1" applyProtection="1"/>
    <xf numFmtId="173" fontId="7" fillId="0" borderId="0" xfId="1533" applyNumberFormat="1" applyFont="1" applyFill="1" applyBorder="1" applyProtection="1"/>
    <xf numFmtId="173" fontId="7" fillId="0" borderId="11" xfId="1533" applyNumberFormat="1" applyFont="1" applyFill="1" applyBorder="1" applyProtection="1"/>
    <xf numFmtId="173" fontId="195" fillId="0" borderId="11" xfId="1533" applyNumberFormat="1" applyFont="1" applyFill="1" applyBorder="1" applyProtection="1"/>
    <xf numFmtId="43" fontId="4" fillId="0" borderId="0" xfId="1208" applyNumberFormat="1" applyFont="1" applyFill="1" applyBorder="1" applyProtection="1"/>
    <xf numFmtId="173" fontId="195" fillId="0" borderId="6" xfId="1201" applyNumberFormat="1" applyFont="1" applyFill="1" applyBorder="1" applyProtection="1"/>
    <xf numFmtId="0" fontId="7" fillId="0" borderId="0" xfId="1535" applyFont="1" applyAlignment="1" applyProtection="1"/>
    <xf numFmtId="0" fontId="15" fillId="0" borderId="0" xfId="1535" applyFont="1" applyAlignment="1" applyProtection="1"/>
    <xf numFmtId="174" fontId="15" fillId="0" borderId="0" xfId="1535" applyNumberFormat="1" applyFont="1" applyBorder="1" applyAlignment="1" applyProtection="1"/>
    <xf numFmtId="1" fontId="15" fillId="0" borderId="0" xfId="1535" applyNumberFormat="1" applyFont="1" applyAlignment="1" applyProtection="1">
      <alignment horizontal="left"/>
    </xf>
    <xf numFmtId="0" fontId="15" fillId="0" borderId="0" xfId="1535" quotePrefix="1" applyFont="1" applyAlignment="1" applyProtection="1">
      <alignment horizontal="left"/>
    </xf>
    <xf numFmtId="1" fontId="15" fillId="0" borderId="0" xfId="1535" applyNumberFormat="1" applyFont="1" applyAlignment="1" applyProtection="1">
      <alignment horizontal="center"/>
    </xf>
    <xf numFmtId="14" fontId="15" fillId="0" borderId="0" xfId="1535" quotePrefix="1" applyNumberFormat="1" applyFont="1" applyAlignment="1" applyProtection="1">
      <alignment horizontal="left"/>
    </xf>
    <xf numFmtId="10" fontId="84" fillId="27" borderId="0" xfId="899" applyNumberFormat="1" applyFont="1" applyFill="1" applyBorder="1" applyAlignment="1" applyProtection="1">
      <alignment horizontal="right"/>
    </xf>
    <xf numFmtId="43" fontId="15" fillId="0" borderId="0" xfId="1535" applyNumberFormat="1" applyFont="1" applyAlignment="1" applyProtection="1"/>
    <xf numFmtId="10" fontId="15" fillId="0" borderId="0" xfId="1535" applyNumberFormat="1" applyFont="1" applyAlignment="1" applyProtection="1"/>
    <xf numFmtId="0" fontId="15" fillId="0" borderId="0" xfId="1535" quotePrefix="1" applyFont="1" applyBorder="1" applyAlignment="1" applyProtection="1">
      <alignment horizontal="left"/>
    </xf>
    <xf numFmtId="43" fontId="15" fillId="0" borderId="0" xfId="1535" applyNumberFormat="1" applyFont="1" applyBorder="1" applyAlignment="1" applyProtection="1"/>
    <xf numFmtId="0" fontId="199" fillId="0" borderId="0" xfId="1535" applyFont="1" applyAlignment="1" applyProtection="1"/>
    <xf numFmtId="0" fontId="15" fillId="0" borderId="0" xfId="1535" applyFont="1" applyAlignment="1" applyProtection="1">
      <alignment horizontal="left"/>
    </xf>
    <xf numFmtId="0" fontId="15" fillId="0" borderId="0" xfId="1535" applyFont="1" applyBorder="1" applyAlignment="1" applyProtection="1"/>
    <xf numFmtId="10" fontId="15" fillId="0" borderId="0" xfId="1535" applyNumberFormat="1" applyFont="1" applyBorder="1" applyAlignment="1" applyProtection="1"/>
    <xf numFmtId="164" fontId="15" fillId="0" borderId="0" xfId="1535" applyNumberFormat="1" applyFont="1" applyAlignment="1" applyProtection="1"/>
    <xf numFmtId="0" fontId="195" fillId="0" borderId="0" xfId="0" applyFont="1" applyFill="1" applyBorder="1" applyAlignment="1" applyProtection="1">
      <alignment wrapText="1"/>
    </xf>
    <xf numFmtId="49" fontId="7" fillId="0" borderId="0" xfId="1409"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49" fontId="7" fillId="0" borderId="0" xfId="1409" applyNumberFormat="1" applyFont="1" applyFill="1" applyBorder="1" applyAlignment="1" applyProtection="1">
      <alignment horizontal="left"/>
    </xf>
    <xf numFmtId="0" fontId="9" fillId="0" borderId="0" xfId="1409" quotePrefix="1" applyFont="1" applyFill="1" applyBorder="1" applyAlignment="1" applyProtection="1">
      <alignment horizontal="center"/>
    </xf>
    <xf numFmtId="0" fontId="17" fillId="0" borderId="0" xfId="1409" quotePrefix="1" applyFont="1" applyFill="1" applyBorder="1" applyAlignment="1" applyProtection="1">
      <alignment horizontal="center"/>
    </xf>
    <xf numFmtId="0" fontId="17" fillId="0" borderId="0" xfId="1176" applyFont="1" applyFill="1" applyAlignment="1" applyProtection="1">
      <alignment horizontal="center"/>
    </xf>
    <xf numFmtId="190" fontId="17" fillId="0" borderId="0" xfId="1409" applyNumberFormat="1" applyFont="1" applyFill="1" applyBorder="1" applyAlignment="1" applyProtection="1">
      <alignment horizontal="center"/>
    </xf>
    <xf numFmtId="14" fontId="4" fillId="0" borderId="0" xfId="1409" applyNumberFormat="1" applyFont="1" applyFill="1" applyBorder="1" applyAlignment="1" applyProtection="1">
      <alignment horizontal="center" wrapText="1"/>
    </xf>
    <xf numFmtId="173" fontId="4" fillId="27" borderId="0" xfId="0" applyNumberFormat="1" applyFont="1" applyFill="1" applyBorder="1" applyProtection="1"/>
    <xf numFmtId="0" fontId="4" fillId="27" borderId="0" xfId="198" quotePrefix="1" applyNumberFormat="1" applyFont="1" applyFill="1" applyBorder="1" applyAlignment="1" applyProtection="1">
      <alignment horizontal="center"/>
    </xf>
    <xf numFmtId="0" fontId="4" fillId="0" borderId="0" xfId="1528" applyFont="1" applyFill="1" applyProtection="1"/>
    <xf numFmtId="173" fontId="4" fillId="27" borderId="0" xfId="0" applyNumberFormat="1" applyFont="1" applyFill="1" applyBorder="1" applyAlignment="1" applyProtection="1">
      <alignment horizontal="center"/>
    </xf>
    <xf numFmtId="3" fontId="4" fillId="0" borderId="0" xfId="0" applyNumberFormat="1" applyFont="1" applyFill="1" applyProtection="1"/>
    <xf numFmtId="0" fontId="4" fillId="0" borderId="2" xfId="1409" applyFont="1" applyFill="1" applyBorder="1" applyProtection="1"/>
    <xf numFmtId="173" fontId="4" fillId="0" borderId="2" xfId="1409" applyNumberFormat="1" applyFont="1" applyFill="1" applyBorder="1" applyProtection="1"/>
    <xf numFmtId="0" fontId="17" fillId="0" borderId="11" xfId="0" applyFont="1" applyFill="1" applyBorder="1" applyAlignment="1" applyProtection="1">
      <alignment horizontal="center"/>
    </xf>
    <xf numFmtId="43" fontId="4" fillId="0" borderId="0" xfId="1533" applyFont="1" applyFill="1" applyBorder="1" applyProtection="1"/>
    <xf numFmtId="43" fontId="77" fillId="0" borderId="0" xfId="1533" applyFont="1" applyFill="1" applyBorder="1" applyProtection="1"/>
    <xf numFmtId="43" fontId="7" fillId="0" borderId="0" xfId="1533" applyFont="1" applyFill="1" applyBorder="1" applyProtection="1"/>
    <xf numFmtId="43" fontId="9" fillId="0" borderId="0" xfId="1533" applyFont="1" applyFill="1" applyBorder="1" applyProtection="1"/>
    <xf numFmtId="1" fontId="4" fillId="0" borderId="0" xfId="1409" applyNumberFormat="1" applyFont="1" applyFill="1" applyBorder="1" applyAlignment="1" applyProtection="1">
      <alignment horizontal="center"/>
    </xf>
    <xf numFmtId="43" fontId="4" fillId="27" borderId="0" xfId="1533" applyFont="1" applyFill="1" applyBorder="1" applyProtection="1"/>
    <xf numFmtId="43" fontId="77" fillId="27" borderId="0" xfId="1533" applyFont="1" applyFill="1" applyBorder="1" applyProtection="1"/>
    <xf numFmtId="43" fontId="4" fillId="27" borderId="0" xfId="1533" applyFont="1" applyFill="1" applyBorder="1" applyAlignment="1" applyProtection="1">
      <alignment horizontal="center"/>
    </xf>
    <xf numFmtId="0" fontId="4" fillId="27" borderId="0" xfId="1533" applyNumberFormat="1" applyFont="1" applyFill="1" applyBorder="1" applyAlignment="1" applyProtection="1">
      <alignment horizontal="center"/>
    </xf>
    <xf numFmtId="173" fontId="4" fillId="27" borderId="0" xfId="1533" applyNumberFormat="1" applyFont="1" applyFill="1" applyBorder="1" applyProtection="1"/>
    <xf numFmtId="0" fontId="4" fillId="27" borderId="0" xfId="1533" quotePrefix="1" applyNumberFormat="1" applyFont="1" applyFill="1" applyBorder="1" applyAlignment="1" applyProtection="1">
      <alignment horizontal="center"/>
    </xf>
    <xf numFmtId="43" fontId="4" fillId="0" borderId="2" xfId="1533" applyFont="1" applyFill="1" applyBorder="1" applyProtection="1"/>
    <xf numFmtId="43" fontId="77" fillId="0" borderId="2" xfId="1533" applyFont="1" applyFill="1" applyBorder="1" applyProtection="1"/>
    <xf numFmtId="0" fontId="4" fillId="0" borderId="2" xfId="1533" applyNumberFormat="1" applyFont="1" applyFill="1" applyBorder="1" applyAlignment="1" applyProtection="1">
      <alignment horizontal="center"/>
    </xf>
    <xf numFmtId="173" fontId="4" fillId="0" borderId="2" xfId="1533" applyNumberFormat="1" applyFont="1" applyFill="1" applyBorder="1" applyProtection="1"/>
    <xf numFmtId="0" fontId="4" fillId="0" borderId="0" xfId="1533" applyNumberFormat="1" applyFont="1" applyFill="1" applyBorder="1" applyAlignment="1" applyProtection="1">
      <alignment horizontal="center"/>
    </xf>
    <xf numFmtId="173" fontId="4" fillId="0" borderId="0" xfId="1533" applyNumberFormat="1" applyFont="1" applyFill="1" applyBorder="1" applyProtection="1"/>
    <xf numFmtId="43" fontId="4" fillId="27" borderId="0" xfId="202" applyFont="1" applyFill="1" applyBorder="1" applyProtection="1"/>
    <xf numFmtId="43" fontId="4" fillId="27" borderId="0" xfId="202" applyFont="1" applyFill="1" applyBorder="1" applyAlignment="1" applyProtection="1">
      <alignment horizontal="center"/>
    </xf>
    <xf numFmtId="0" fontId="194" fillId="0" borderId="0" xfId="1409" applyFont="1" applyFill="1" applyBorder="1" applyProtection="1"/>
    <xf numFmtId="0" fontId="4" fillId="0" borderId="11" xfId="1409" applyFont="1" applyFill="1" applyBorder="1" applyProtection="1"/>
    <xf numFmtId="0" fontId="4" fillId="0" borderId="11" xfId="1409" applyFont="1" applyFill="1" applyBorder="1" applyAlignment="1" applyProtection="1">
      <alignment horizontal="center" wrapText="1"/>
    </xf>
    <xf numFmtId="190" fontId="17" fillId="0" borderId="11" xfId="1409" applyNumberFormat="1" applyFont="1" applyFill="1" applyBorder="1" applyAlignment="1" applyProtection="1">
      <alignment horizontal="center" wrapText="1"/>
    </xf>
    <xf numFmtId="0" fontId="17" fillId="0" borderId="11" xfId="1409" quotePrefix="1" applyFont="1" applyFill="1" applyBorder="1" applyAlignment="1" applyProtection="1">
      <alignment horizontal="center" wrapText="1"/>
    </xf>
    <xf numFmtId="14" fontId="4" fillId="27" borderId="0" xfId="1533" applyNumberFormat="1" applyFont="1" applyFill="1" applyBorder="1" applyAlignment="1" applyProtection="1">
      <alignment horizontal="center"/>
    </xf>
    <xf numFmtId="1" fontId="4" fillId="27" borderId="0" xfId="198" applyNumberFormat="1" applyFont="1" applyFill="1" applyBorder="1" applyAlignment="1" applyProtection="1">
      <alignment horizontal="center"/>
    </xf>
    <xf numFmtId="173" fontId="4" fillId="27" borderId="0" xfId="1533" applyNumberFormat="1" applyFont="1" applyFill="1" applyBorder="1" applyAlignment="1" applyProtection="1">
      <alignment horizontal="center"/>
    </xf>
    <xf numFmtId="181" fontId="4" fillId="27" borderId="0" xfId="1533" applyNumberFormat="1" applyFont="1" applyFill="1" applyBorder="1" applyProtection="1"/>
    <xf numFmtId="181" fontId="4" fillId="27" borderId="0" xfId="1533" applyNumberFormat="1" applyFont="1" applyFill="1" applyBorder="1" applyAlignment="1" applyProtection="1">
      <alignment horizontal="center"/>
    </xf>
    <xf numFmtId="173" fontId="4" fillId="0" borderId="2" xfId="198" applyNumberFormat="1" applyFont="1" applyFill="1" applyBorder="1" applyProtection="1"/>
    <xf numFmtId="3" fontId="54" fillId="0" borderId="0" xfId="1528" applyNumberFormat="1" applyFont="1" applyFill="1" applyAlignment="1" applyProtection="1"/>
    <xf numFmtId="3" fontId="54" fillId="0" borderId="0" xfId="1528" applyNumberFormat="1" applyFont="1" applyFill="1" applyAlignment="1" applyProtection="1">
      <alignment horizontal="center" vertical="top" wrapText="1"/>
    </xf>
    <xf numFmtId="3" fontId="54" fillId="0" borderId="0" xfId="1528" applyNumberFormat="1" applyFont="1" applyFill="1" applyAlignment="1" applyProtection="1">
      <alignment wrapText="1"/>
    </xf>
    <xf numFmtId="3" fontId="54" fillId="0" borderId="0" xfId="1528" applyNumberFormat="1" applyFont="1" applyFill="1" applyAlignment="1" applyProtection="1">
      <alignment horizontal="left" vertical="top" wrapText="1"/>
    </xf>
    <xf numFmtId="3" fontId="54" fillId="0" borderId="0" xfId="1528" applyNumberFormat="1" applyFont="1" applyFill="1" applyAlignment="1" applyProtection="1">
      <alignment horizontal="left" wrapText="1"/>
    </xf>
    <xf numFmtId="0" fontId="7" fillId="0" borderId="0" xfId="1172" applyFont="1" applyAlignment="1" applyProtection="1"/>
    <xf numFmtId="0" fontId="165" fillId="0" borderId="0" xfId="1172" applyFont="1" applyProtection="1"/>
    <xf numFmtId="0" fontId="201" fillId="0" borderId="0" xfId="1172" applyFont="1" applyFill="1" applyProtection="1"/>
    <xf numFmtId="0" fontId="4" fillId="0" borderId="0" xfId="1172" applyFont="1" applyFill="1" applyProtection="1"/>
    <xf numFmtId="175" fontId="4" fillId="0" borderId="0" xfId="1172" applyNumberFormat="1" applyFont="1" applyFill="1" applyProtection="1"/>
    <xf numFmtId="0" fontId="201" fillId="0" borderId="0" xfId="1172" applyFont="1" applyAlignment="1" applyProtection="1">
      <alignment horizontal="center"/>
    </xf>
    <xf numFmtId="0" fontId="201" fillId="0" borderId="0" xfId="1172" applyFont="1" applyBorder="1" applyAlignment="1" applyProtection="1"/>
    <xf numFmtId="0" fontId="201" fillId="0" borderId="70" xfId="1172" applyFont="1" applyBorder="1" applyAlignment="1" applyProtection="1">
      <alignment horizontal="center"/>
    </xf>
    <xf numFmtId="0" fontId="202" fillId="0" borderId="0" xfId="1172" applyFont="1" applyAlignment="1" applyProtection="1">
      <alignment horizontal="center"/>
    </xf>
    <xf numFmtId="0" fontId="202" fillId="0" borderId="0" xfId="1172" applyFont="1" applyProtection="1"/>
    <xf numFmtId="175" fontId="202" fillId="0" borderId="0" xfId="1172" applyNumberFormat="1" applyFont="1" applyAlignment="1" applyProtection="1">
      <alignment horizontal="center"/>
    </xf>
    <xf numFmtId="199" fontId="202" fillId="0" borderId="0" xfId="1172" applyNumberFormat="1" applyFont="1" applyAlignment="1" applyProtection="1">
      <alignment horizontal="center"/>
    </xf>
    <xf numFmtId="0" fontId="203" fillId="0" borderId="71" xfId="1172" applyFont="1" applyBorder="1" applyProtection="1"/>
    <xf numFmtId="0" fontId="165" fillId="0" borderId="71" xfId="1172" applyFont="1" applyBorder="1" applyProtection="1"/>
    <xf numFmtId="0" fontId="203" fillId="0" borderId="0" xfId="1172" applyFont="1" applyBorder="1" applyProtection="1"/>
    <xf numFmtId="0" fontId="165" fillId="0" borderId="0" xfId="1172" applyFont="1" applyBorder="1" applyProtection="1"/>
    <xf numFmtId="0" fontId="71" fillId="0" borderId="0" xfId="1172" applyFont="1" applyBorder="1" applyAlignment="1" applyProtection="1">
      <alignment horizontal="center"/>
    </xf>
    <xf numFmtId="0" fontId="203" fillId="0" borderId="70" xfId="1172" applyFont="1" applyBorder="1" applyProtection="1"/>
    <xf numFmtId="0" fontId="165" fillId="0" borderId="70" xfId="1172" applyFont="1" applyBorder="1" applyProtection="1"/>
    <xf numFmtId="10" fontId="4" fillId="0" borderId="0" xfId="799" applyNumberFormat="1" applyFont="1" applyAlignment="1" applyProtection="1"/>
    <xf numFmtId="0" fontId="71" fillId="0" borderId="0" xfId="1172" applyFont="1" applyBorder="1" applyProtection="1"/>
    <xf numFmtId="0" fontId="204" fillId="0" borderId="70" xfId="1172" applyFont="1" applyBorder="1" applyProtection="1"/>
    <xf numFmtId="43" fontId="79" fillId="0" borderId="0" xfId="198" applyFont="1" applyFill="1" applyProtection="1"/>
    <xf numFmtId="10" fontId="4" fillId="0" borderId="0" xfId="899" applyNumberFormat="1" applyFont="1" applyFill="1" applyProtection="1"/>
    <xf numFmtId="0" fontId="9" fillId="0" borderId="40" xfId="0" applyFont="1" applyBorder="1" applyAlignment="1">
      <alignment horizontal="center"/>
    </xf>
    <xf numFmtId="0" fontId="7" fillId="0" borderId="0" xfId="881" applyNumberFormat="1" applyFont="1" applyFill="1" applyAlignment="1" applyProtection="1">
      <alignment horizontal="left" wrapText="1"/>
    </xf>
    <xf numFmtId="0" fontId="7" fillId="0" borderId="0" xfId="1528" applyFont="1" applyFill="1" applyAlignment="1" applyProtection="1">
      <alignment horizontal="left" vertical="top" wrapText="1"/>
    </xf>
    <xf numFmtId="0" fontId="7" fillId="0" borderId="0" xfId="760" applyFont="1" applyFill="1" applyAlignment="1" applyProtection="1">
      <alignment horizontal="left" vertical="top" wrapText="1"/>
    </xf>
    <xf numFmtId="172" fontId="64" fillId="0" borderId="0" xfId="881" applyFont="1" applyFill="1" applyAlignment="1" applyProtection="1">
      <alignment horizontal="left" wrapText="1"/>
    </xf>
    <xf numFmtId="0" fontId="10" fillId="0" borderId="0" xfId="881" applyNumberFormat="1" applyFont="1" applyFill="1" applyAlignment="1" applyProtection="1">
      <alignment horizontal="center"/>
    </xf>
    <xf numFmtId="0" fontId="13" fillId="0" borderId="0" xfId="0" applyFont="1" applyFill="1" applyAlignment="1" applyProtection="1"/>
    <xf numFmtId="49" fontId="7" fillId="0" borderId="0" xfId="881" applyNumberFormat="1" applyFont="1" applyFill="1" applyAlignment="1" applyProtection="1">
      <alignment horizontal="center"/>
    </xf>
    <xf numFmtId="0" fontId="4" fillId="0" borderId="0" xfId="0" applyFont="1" applyFill="1" applyAlignment="1" applyProtection="1">
      <alignment horizontal="center"/>
    </xf>
    <xf numFmtId="0" fontId="7" fillId="0" borderId="0" xfId="881" applyNumberFormat="1" applyFont="1" applyFill="1" applyAlignment="1" applyProtection="1">
      <alignment horizontal="left" vertical="top" wrapText="1"/>
    </xf>
    <xf numFmtId="0" fontId="7" fillId="0" borderId="0" xfId="0" applyFont="1" applyAlignment="1" applyProtection="1">
      <alignment horizontal="left" vertical="top" wrapText="1"/>
    </xf>
    <xf numFmtId="0" fontId="7" fillId="0" borderId="0" xfId="881" applyNumberFormat="1" applyFont="1" applyFill="1" applyAlignment="1" applyProtection="1">
      <alignment horizontal="left" vertical="center" wrapText="1"/>
    </xf>
    <xf numFmtId="0" fontId="7" fillId="0" borderId="0" xfId="0" applyNumberFormat="1" applyFont="1" applyFill="1" applyAlignment="1" applyProtection="1">
      <alignment wrapText="1"/>
    </xf>
    <xf numFmtId="0" fontId="7" fillId="0" borderId="0" xfId="0" applyFont="1" applyFill="1" applyAlignment="1" applyProtection="1">
      <alignment wrapText="1"/>
    </xf>
    <xf numFmtId="172" fontId="7" fillId="0" borderId="0" xfId="881" applyFont="1" applyFill="1" applyAlignment="1" applyProtection="1">
      <alignment wrapText="1"/>
    </xf>
    <xf numFmtId="37" fontId="9" fillId="0" borderId="0" xfId="1123" applyNumberFormat="1" applyFont="1" applyBorder="1" applyAlignment="1" applyProtection="1">
      <alignment horizontal="center"/>
    </xf>
    <xf numFmtId="0" fontId="9" fillId="0" borderId="2" xfId="1123" applyFont="1" applyBorder="1" applyAlignment="1" applyProtection="1">
      <alignment horizontal="center"/>
    </xf>
    <xf numFmtId="0" fontId="7" fillId="0" borderId="0" xfId="791" applyFont="1" applyFill="1" applyBorder="1" applyAlignment="1" applyProtection="1">
      <alignment horizontal="center"/>
    </xf>
    <xf numFmtId="0" fontId="8" fillId="0" borderId="0" xfId="791" applyFont="1" applyFill="1" applyBorder="1" applyAlignment="1" applyProtection="1">
      <alignment horizontal="center"/>
    </xf>
    <xf numFmtId="3" fontId="8" fillId="0" borderId="0" xfId="791" applyNumberFormat="1" applyFont="1" applyFill="1" applyBorder="1" applyAlignment="1" applyProtection="1">
      <alignment horizontal="center"/>
    </xf>
    <xf numFmtId="0" fontId="9" fillId="0" borderId="64" xfId="1123" applyFont="1" applyBorder="1" applyAlignment="1" applyProtection="1">
      <alignment horizontal="center" wrapText="1"/>
    </xf>
    <xf numFmtId="0" fontId="9" fillId="0" borderId="14" xfId="1123" applyFont="1" applyBorder="1" applyAlignment="1" applyProtection="1">
      <alignment horizontal="center" wrapText="1"/>
    </xf>
    <xf numFmtId="0" fontId="9" fillId="0" borderId="65" xfId="1123" applyFont="1" applyBorder="1" applyAlignment="1" applyProtection="1">
      <alignment horizontal="center" wrapText="1"/>
    </xf>
    <xf numFmtId="0" fontId="7" fillId="0" borderId="0" xfId="0" applyFont="1" applyFill="1" applyAlignment="1" applyProtection="1">
      <alignment horizontal="center"/>
    </xf>
    <xf numFmtId="3" fontId="8" fillId="0" borderId="0" xfId="198" applyNumberFormat="1" applyFont="1" applyFill="1" applyAlignment="1" applyProtection="1">
      <alignment horizontal="center"/>
    </xf>
    <xf numFmtId="0" fontId="54" fillId="0" borderId="0" xfId="0" applyFont="1" applyAlignment="1" applyProtection="1">
      <alignment horizontal="left" vertical="top" wrapText="1"/>
    </xf>
    <xf numFmtId="0" fontId="13" fillId="0" borderId="0" xfId="878" applyFont="1" applyFill="1" applyAlignment="1" applyProtection="1">
      <alignment horizontal="center" wrapText="1"/>
    </xf>
    <xf numFmtId="0" fontId="12" fillId="0" borderId="0" xfId="0" applyFont="1" applyFill="1" applyAlignment="1" applyProtection="1">
      <alignment wrapText="1"/>
    </xf>
    <xf numFmtId="0" fontId="18" fillId="0" borderId="0" xfId="0" applyFont="1" applyFill="1" applyAlignment="1">
      <alignment horizontal="center"/>
    </xf>
    <xf numFmtId="0" fontId="18" fillId="0" borderId="0" xfId="791" applyFont="1" applyFill="1" applyBorder="1" applyAlignment="1">
      <alignment horizontal="center"/>
    </xf>
    <xf numFmtId="3" fontId="6" fillId="0" borderId="0" xfId="0" applyNumberFormat="1" applyFont="1" applyFill="1" applyAlignment="1">
      <alignment horizontal="center"/>
    </xf>
    <xf numFmtId="0" fontId="18" fillId="0" borderId="0" xfId="0" applyFont="1" applyFill="1" applyAlignment="1" applyProtection="1">
      <alignment horizontal="center" wrapText="1"/>
    </xf>
    <xf numFmtId="0" fontId="12" fillId="0" borderId="0" xfId="0" applyFont="1" applyFill="1" applyAlignment="1" applyProtection="1">
      <alignment horizontal="left" wrapText="1"/>
    </xf>
    <xf numFmtId="0" fontId="13" fillId="0" borderId="0" xfId="0" applyFont="1" applyFill="1" applyAlignment="1" applyProtection="1">
      <alignment horizontal="center"/>
    </xf>
    <xf numFmtId="0" fontId="18" fillId="0" borderId="0" xfId="791" applyFont="1" applyFill="1" applyBorder="1" applyAlignment="1" applyProtection="1">
      <alignment horizontal="center"/>
    </xf>
    <xf numFmtId="0" fontId="6" fillId="0" borderId="0" xfId="0" applyFont="1" applyFill="1" applyAlignment="1" applyProtection="1">
      <alignment horizontal="center" wrapText="1"/>
    </xf>
    <xf numFmtId="0" fontId="6" fillId="0" borderId="0" xfId="0" applyFont="1" applyFill="1" applyAlignment="1" applyProtection="1">
      <alignment horizontal="center"/>
    </xf>
    <xf numFmtId="3" fontId="4" fillId="0" borderId="0" xfId="798" applyFont="1" applyFill="1" applyBorder="1" applyAlignment="1" applyProtection="1">
      <alignment horizontal="left" vertical="top" wrapText="1"/>
    </xf>
    <xf numFmtId="3" fontId="12" fillId="0" borderId="11" xfId="798" applyFont="1" applyFill="1" applyBorder="1" applyAlignment="1" applyProtection="1">
      <alignment horizontal="center" wrapText="1"/>
    </xf>
    <xf numFmtId="3" fontId="18" fillId="0" borderId="0" xfId="791" applyNumberFormat="1" applyFont="1" applyFill="1" applyBorder="1" applyAlignment="1" applyProtection="1">
      <alignment horizontal="center"/>
    </xf>
    <xf numFmtId="3" fontId="80" fillId="0" borderId="0" xfId="798" applyFont="1" applyFill="1" applyBorder="1" applyAlignment="1" applyProtection="1">
      <alignment horizontal="left" wrapText="1"/>
    </xf>
    <xf numFmtId="3" fontId="12" fillId="0" borderId="0" xfId="798" applyFont="1" applyFill="1" applyBorder="1" applyAlignment="1" applyProtection="1">
      <alignment horizontal="left" wrapText="1"/>
    </xf>
    <xf numFmtId="173" fontId="189" fillId="0" borderId="11" xfId="198" applyNumberFormat="1" applyFont="1" applyBorder="1" applyAlignment="1" applyProtection="1">
      <alignment horizontal="center"/>
    </xf>
    <xf numFmtId="173" fontId="189" fillId="0" borderId="0" xfId="198" applyNumberFormat="1" applyFont="1" applyAlignment="1" applyProtection="1">
      <alignment horizontal="left" wrapText="1"/>
    </xf>
    <xf numFmtId="173" fontId="190" fillId="0" borderId="0" xfId="198" applyNumberFormat="1" applyFont="1" applyFill="1" applyAlignment="1" applyProtection="1">
      <alignment horizontal="center"/>
    </xf>
    <xf numFmtId="173" fontId="190" fillId="0" borderId="0" xfId="198" applyNumberFormat="1" applyFont="1" applyFill="1" applyBorder="1" applyAlignment="1" applyProtection="1">
      <alignment horizontal="center"/>
    </xf>
    <xf numFmtId="173" fontId="191" fillId="0" borderId="0" xfId="198" applyNumberFormat="1" applyFont="1" applyFill="1" applyBorder="1" applyAlignment="1" applyProtection="1">
      <alignment horizontal="center"/>
    </xf>
    <xf numFmtId="173" fontId="191" fillId="0" borderId="0" xfId="198" applyNumberFormat="1" applyFont="1" applyFill="1" applyAlignment="1" applyProtection="1">
      <alignment horizontal="center"/>
    </xf>
    <xf numFmtId="173" fontId="189" fillId="0" borderId="11" xfId="198" applyNumberFormat="1" applyFont="1" applyBorder="1" applyAlignment="1" applyProtection="1">
      <alignment horizontal="center" wrapText="1"/>
    </xf>
    <xf numFmtId="0" fontId="4" fillId="0" borderId="0" xfId="878" applyFont="1" applyFill="1" applyAlignment="1" applyProtection="1">
      <alignment horizontal="left" vertical="top" wrapText="1"/>
    </xf>
    <xf numFmtId="0" fontId="9" fillId="0" borderId="11" xfId="791" applyFont="1" applyFill="1" applyBorder="1" applyAlignment="1" applyProtection="1">
      <alignment horizontal="center" wrapText="1"/>
    </xf>
    <xf numFmtId="0" fontId="65" fillId="0" borderId="0" xfId="878" applyFont="1" applyFill="1" applyAlignment="1" applyProtection="1">
      <alignment horizontal="center"/>
    </xf>
    <xf numFmtId="0" fontId="65" fillId="0" borderId="0" xfId="791" applyNumberFormat="1" applyFont="1" applyFill="1" applyBorder="1" applyAlignment="1" applyProtection="1">
      <alignment horizontal="center"/>
    </xf>
    <xf numFmtId="0" fontId="17" fillId="0" borderId="0" xfId="878" applyFont="1" applyFill="1" applyBorder="1" applyAlignment="1" applyProtection="1">
      <alignment horizontal="center" wrapText="1"/>
    </xf>
    <xf numFmtId="0" fontId="13" fillId="0" borderId="0" xfId="0" applyFont="1" applyFill="1" applyBorder="1" applyAlignment="1" applyProtection="1">
      <alignment horizontal="center" wrapText="1"/>
    </xf>
    <xf numFmtId="3" fontId="8" fillId="0" borderId="0" xfId="0" applyNumberFormat="1" applyFont="1" applyFill="1" applyAlignment="1" applyProtection="1">
      <alignment horizontal="center"/>
    </xf>
    <xf numFmtId="172" fontId="18" fillId="0" borderId="43" xfId="881" applyFont="1" applyFill="1" applyBorder="1" applyAlignment="1" applyProtection="1">
      <alignment horizontal="left" wrapText="1"/>
    </xf>
    <xf numFmtId="172" fontId="18" fillId="0" borderId="17" xfId="881" applyFont="1" applyFill="1" applyBorder="1" applyAlignment="1" applyProtection="1">
      <alignment horizontal="left" wrapText="1"/>
    </xf>
    <xf numFmtId="172" fontId="18" fillId="0" borderId="21" xfId="881" applyFont="1" applyFill="1" applyBorder="1" applyAlignment="1" applyProtection="1">
      <alignment horizontal="left" wrapText="1"/>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3" fontId="6" fillId="0" borderId="0" xfId="0" applyNumberFormat="1" applyFont="1" applyFill="1" applyAlignment="1" applyProtection="1">
      <alignment horizontal="center"/>
    </xf>
    <xf numFmtId="0" fontId="6" fillId="0" borderId="0" xfId="0" applyFont="1" applyFill="1" applyAlignment="1" applyProtection="1">
      <alignment wrapText="1"/>
    </xf>
    <xf numFmtId="172" fontId="7" fillId="0" borderId="43" xfId="881" applyFont="1" applyFill="1" applyBorder="1" applyAlignment="1" applyProtection="1">
      <alignment horizontal="left" wrapText="1"/>
    </xf>
    <xf numFmtId="172" fontId="7" fillId="0" borderId="17" xfId="881" applyFont="1" applyFill="1" applyBorder="1" applyAlignment="1" applyProtection="1">
      <alignment horizontal="left" wrapText="1"/>
    </xf>
    <xf numFmtId="172" fontId="7" fillId="0" borderId="21" xfId="881" applyFont="1" applyFill="1" applyBorder="1" applyAlignment="1" applyProtection="1">
      <alignment horizontal="left" wrapText="1"/>
    </xf>
    <xf numFmtId="172" fontId="7" fillId="0" borderId="19" xfId="881" applyFont="1" applyFill="1" applyBorder="1" applyAlignment="1" applyProtection="1">
      <alignment horizontal="left" wrapText="1"/>
    </xf>
    <xf numFmtId="172" fontId="7" fillId="0" borderId="0" xfId="881" applyFont="1" applyFill="1" applyBorder="1" applyAlignment="1" applyProtection="1">
      <alignment horizontal="left" wrapText="1"/>
    </xf>
    <xf numFmtId="172" fontId="7" fillId="0" borderId="20" xfId="881" applyFont="1" applyFill="1" applyBorder="1" applyAlignment="1" applyProtection="1">
      <alignment horizontal="left" wrapText="1"/>
    </xf>
    <xf numFmtId="3" fontId="7" fillId="0" borderId="0" xfId="791" applyNumberFormat="1" applyFont="1" applyFill="1" applyBorder="1" applyAlignment="1" applyProtection="1">
      <alignment horizontal="center"/>
    </xf>
    <xf numFmtId="0" fontId="109" fillId="0" borderId="0" xfId="883" applyFont="1" applyFill="1" applyAlignment="1" applyProtection="1">
      <alignment horizontal="left" vertical="top" wrapText="1"/>
    </xf>
    <xf numFmtId="0" fontId="17" fillId="0" borderId="11" xfId="0" applyFont="1" applyFill="1" applyBorder="1" applyAlignment="1" applyProtection="1">
      <alignment horizontal="center"/>
    </xf>
    <xf numFmtId="0" fontId="9" fillId="0" borderId="0" xfId="0" applyFont="1" applyFill="1" applyAlignment="1" applyProtection="1">
      <alignment horizontal="center" wrapText="1"/>
    </xf>
    <xf numFmtId="3" fontId="54" fillId="0" borderId="0" xfId="760" applyNumberFormat="1" applyFont="1" applyFill="1" applyAlignment="1" applyProtection="1">
      <alignment horizontal="left" wrapText="1"/>
    </xf>
    <xf numFmtId="0" fontId="119" fillId="0" borderId="0" xfId="878" applyFont="1" applyFill="1" applyAlignment="1">
      <alignment horizontal="left" wrapText="1"/>
    </xf>
    <xf numFmtId="0" fontId="7" fillId="0" borderId="0" xfId="791" applyFont="1" applyFill="1" applyBorder="1" applyAlignment="1">
      <alignment horizontal="center" vertical="center"/>
    </xf>
    <xf numFmtId="0" fontId="7" fillId="0" borderId="0" xfId="0" applyFont="1" applyFill="1" applyAlignment="1">
      <alignment horizontal="center"/>
    </xf>
    <xf numFmtId="0" fontId="8" fillId="0" borderId="0" xfId="791" applyFont="1" applyFill="1" applyBorder="1" applyAlignment="1">
      <alignment horizontal="center" vertical="center"/>
    </xf>
    <xf numFmtId="3" fontId="8" fillId="0" borderId="0" xfId="0" applyNumberFormat="1" applyFont="1" applyFill="1" applyAlignment="1">
      <alignment horizontal="center"/>
    </xf>
    <xf numFmtId="0" fontId="14" fillId="0" borderId="11" xfId="0" applyFont="1" applyFill="1" applyBorder="1" applyAlignment="1">
      <alignment horizontal="center"/>
    </xf>
    <xf numFmtId="0" fontId="7" fillId="0" borderId="0" xfId="791" applyFont="1" applyFill="1" applyBorder="1" applyAlignment="1">
      <alignment horizontal="center"/>
    </xf>
    <xf numFmtId="0" fontId="8" fillId="0" borderId="0" xfId="791" applyFont="1" applyFill="1" applyBorder="1" applyAlignment="1">
      <alignment horizontal="center"/>
    </xf>
    <xf numFmtId="3" fontId="120" fillId="0" borderId="0" xfId="0" applyNumberFormat="1" applyFont="1" applyFill="1" applyAlignment="1">
      <alignment horizontal="center"/>
    </xf>
    <xf numFmtId="3" fontId="7" fillId="0" borderId="0" xfId="0" applyNumberFormat="1" applyFont="1" applyFill="1" applyAlignment="1">
      <alignment horizontal="center"/>
    </xf>
    <xf numFmtId="3" fontId="8" fillId="0" borderId="0" xfId="198" applyNumberFormat="1" applyFont="1" applyFill="1" applyAlignment="1">
      <alignment horizontal="center"/>
    </xf>
    <xf numFmtId="0" fontId="54" fillId="0" borderId="0" xfId="1172" applyFont="1" applyAlignment="1" applyProtection="1">
      <alignment horizontal="left" vertical="top" wrapText="1"/>
    </xf>
    <xf numFmtId="0" fontId="4" fillId="0" borderId="0" xfId="1177" applyFont="1" applyFill="1" applyAlignment="1" applyProtection="1">
      <alignment horizontal="left" wrapText="1"/>
    </xf>
    <xf numFmtId="0" fontId="4" fillId="0" borderId="0" xfId="1178" applyFont="1" applyFill="1" applyAlignment="1" applyProtection="1">
      <alignment wrapText="1"/>
    </xf>
    <xf numFmtId="0" fontId="163" fillId="0" borderId="0" xfId="1177" applyFont="1" applyFill="1" applyAlignment="1" applyProtection="1">
      <alignment horizontal="left" wrapText="1"/>
    </xf>
    <xf numFmtId="41" fontId="9" fillId="0" borderId="0" xfId="1177" applyNumberFormat="1" applyFont="1" applyFill="1" applyBorder="1" applyAlignment="1" applyProtection="1">
      <alignment horizontal="center" wrapText="1"/>
    </xf>
    <xf numFmtId="0" fontId="9" fillId="0" borderId="64" xfId="1173" applyFont="1" applyBorder="1" applyAlignment="1">
      <alignment horizontal="center" wrapText="1"/>
    </xf>
    <xf numFmtId="0" fontId="9" fillId="0" borderId="14" xfId="1173" applyFont="1" applyBorder="1" applyAlignment="1">
      <alignment horizontal="center" wrapText="1"/>
    </xf>
    <xf numFmtId="0" fontId="9" fillId="0" borderId="65" xfId="1173" applyFont="1" applyBorder="1" applyAlignment="1">
      <alignment horizontal="center" wrapText="1"/>
    </xf>
    <xf numFmtId="0" fontId="9" fillId="0" borderId="64" xfId="1172" applyFont="1" applyBorder="1" applyAlignment="1">
      <alignment horizontal="center"/>
    </xf>
    <xf numFmtId="0" fontId="9" fillId="0" borderId="14" xfId="1172" applyFont="1" applyBorder="1" applyAlignment="1">
      <alignment horizontal="center"/>
    </xf>
    <xf numFmtId="0" fontId="9" fillId="0" borderId="65" xfId="1172" applyFont="1" applyBorder="1" applyAlignment="1">
      <alignment horizontal="center"/>
    </xf>
    <xf numFmtId="0" fontId="195" fillId="0" borderId="0" xfId="0" applyFont="1" applyFill="1" applyBorder="1" applyAlignment="1" applyProtection="1">
      <alignment horizontal="left" wrapText="1"/>
    </xf>
    <xf numFmtId="0" fontId="64" fillId="0" borderId="0" xfId="0" applyFont="1" applyAlignment="1" applyProtection="1">
      <alignment horizontal="center"/>
    </xf>
    <xf numFmtId="0" fontId="8" fillId="0" borderId="0" xfId="0" applyFont="1" applyFill="1" applyAlignment="1" applyProtection="1">
      <alignment horizontal="center"/>
    </xf>
    <xf numFmtId="0" fontId="195" fillId="0" borderId="0" xfId="0" applyFont="1" applyFill="1" applyAlignment="1" applyProtection="1">
      <alignment horizontal="left" vertical="top" wrapText="1"/>
    </xf>
    <xf numFmtId="0" fontId="195" fillId="0" borderId="0" xfId="0" applyFont="1" applyFill="1" applyAlignment="1" applyProtection="1">
      <alignment horizontal="left" wrapText="1"/>
    </xf>
    <xf numFmtId="0" fontId="195" fillId="0" borderId="0" xfId="0" applyFont="1" applyFill="1" applyBorder="1" applyAlignment="1" applyProtection="1">
      <alignment horizontal="left" wrapText="1"/>
      <protection locked="0"/>
    </xf>
    <xf numFmtId="0" fontId="64" fillId="0" borderId="0" xfId="0" applyFont="1" applyAlignment="1">
      <alignment horizontal="center"/>
    </xf>
    <xf numFmtId="0" fontId="8" fillId="0" borderId="0" xfId="0" applyFont="1" applyFill="1" applyAlignment="1">
      <alignment horizontal="center"/>
    </xf>
    <xf numFmtId="0" fontId="8" fillId="0" borderId="0" xfId="0" applyFont="1" applyFill="1" applyAlignment="1" applyProtection="1">
      <alignment horizontal="center"/>
      <protection locked="0"/>
    </xf>
    <xf numFmtId="3" fontId="8" fillId="0" borderId="0" xfId="0" applyNumberFormat="1" applyFont="1" applyFill="1" applyAlignment="1" applyProtection="1">
      <alignment horizontal="center"/>
      <protection locked="0"/>
    </xf>
    <xf numFmtId="0" fontId="195" fillId="0" borderId="0" xfId="0" applyFont="1" applyFill="1" applyAlignment="1" applyProtection="1">
      <alignment horizontal="left" wrapText="1"/>
      <protection locked="0"/>
    </xf>
    <xf numFmtId="0" fontId="15" fillId="0" borderId="0" xfId="862" applyFont="1" applyFill="1" applyAlignment="1">
      <alignment horizontal="left" wrapText="1"/>
    </xf>
    <xf numFmtId="0" fontId="64"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pplyProtection="1">
      <alignment horizontal="center" wrapText="1"/>
      <protection locked="0"/>
    </xf>
    <xf numFmtId="3" fontId="8" fillId="0" borderId="0" xfId="0" applyNumberFormat="1" applyFont="1" applyAlignment="1">
      <alignment horizontal="center" wrapText="1"/>
    </xf>
    <xf numFmtId="0" fontId="15" fillId="0" borderId="0" xfId="862" quotePrefix="1" applyFont="1" applyBorder="1" applyAlignment="1">
      <alignment horizontal="left" wrapText="1"/>
    </xf>
    <xf numFmtId="0" fontId="54" fillId="0" borderId="0" xfId="760" applyFont="1" applyFill="1" applyAlignment="1" applyProtection="1">
      <alignment horizontal="left" wrapText="1"/>
    </xf>
    <xf numFmtId="3" fontId="8" fillId="0" borderId="0" xfId="791" applyNumberFormat="1" applyFont="1" applyFill="1" applyBorder="1" applyAlignment="1">
      <alignment horizontal="center"/>
    </xf>
    <xf numFmtId="0" fontId="17" fillId="0" borderId="0" xfId="791" quotePrefix="1" applyFont="1" applyFill="1" applyBorder="1" applyAlignment="1">
      <alignment horizontal="center" wrapText="1"/>
    </xf>
    <xf numFmtId="0" fontId="13" fillId="0" borderId="0" xfId="0" applyFont="1" applyFill="1" applyAlignment="1">
      <alignment horizontal="center" wrapText="1"/>
    </xf>
    <xf numFmtId="3" fontId="54" fillId="0" borderId="0" xfId="760" applyNumberFormat="1" applyFont="1" applyFill="1" applyAlignment="1">
      <alignment horizontal="left" vertical="top" wrapText="1"/>
    </xf>
    <xf numFmtId="0" fontId="9" fillId="0" borderId="0" xfId="0" applyFont="1" applyFill="1" applyAlignment="1">
      <alignment horizontal="center" wrapText="1"/>
    </xf>
    <xf numFmtId="0" fontId="17" fillId="0" borderId="11" xfId="0" applyFont="1" applyFill="1" applyBorder="1" applyAlignment="1">
      <alignment horizontal="center"/>
    </xf>
    <xf numFmtId="0" fontId="7" fillId="0" borderId="0" xfId="799" applyFont="1" applyAlignment="1">
      <alignment horizontal="left" wrapText="1"/>
    </xf>
    <xf numFmtId="0" fontId="8" fillId="0" borderId="0" xfId="799" applyFont="1" applyAlignment="1">
      <alignment horizontal="center"/>
    </xf>
    <xf numFmtId="0" fontId="7" fillId="0" borderId="0" xfId="799" applyFont="1" applyFill="1" applyAlignment="1">
      <alignment horizontal="center"/>
    </xf>
    <xf numFmtId="0" fontId="7" fillId="0" borderId="0" xfId="1172" applyFont="1" applyFill="1" applyBorder="1" applyAlignment="1">
      <alignment horizontal="center"/>
    </xf>
    <xf numFmtId="0" fontId="8"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Fill="1" applyAlignment="1">
      <alignment horizontal="center"/>
    </xf>
    <xf numFmtId="37" fontId="9" fillId="0" borderId="0" xfId="1173" applyNumberFormat="1" applyFont="1" applyBorder="1" applyAlignment="1" applyProtection="1">
      <alignment horizontal="center"/>
    </xf>
    <xf numFmtId="0" fontId="9" fillId="0" borderId="2" xfId="1173" applyFont="1" applyBorder="1" applyAlignment="1" applyProtection="1">
      <alignment horizontal="center"/>
    </xf>
    <xf numFmtId="0" fontId="7" fillId="0" borderId="0" xfId="1409" applyFont="1" applyFill="1" applyBorder="1" applyAlignment="1" applyProtection="1">
      <alignment horizontal="center"/>
    </xf>
    <xf numFmtId="0" fontId="8" fillId="0" borderId="0" xfId="1409" applyFont="1" applyFill="1" applyBorder="1" applyAlignment="1" applyProtection="1">
      <alignment horizontal="center"/>
    </xf>
    <xf numFmtId="3" fontId="8" fillId="0" borderId="0" xfId="1409" applyNumberFormat="1" applyFont="1" applyFill="1" applyBorder="1" applyAlignment="1" applyProtection="1">
      <alignment horizontal="center"/>
    </xf>
    <xf numFmtId="0" fontId="9" fillId="0" borderId="64" xfId="1173" applyFont="1" applyBorder="1" applyAlignment="1" applyProtection="1">
      <alignment horizontal="center" wrapText="1"/>
    </xf>
    <xf numFmtId="0" fontId="9" fillId="0" borderId="14" xfId="1173" applyFont="1" applyBorder="1" applyAlignment="1" applyProtection="1">
      <alignment horizontal="center" wrapText="1"/>
    </xf>
    <xf numFmtId="0" fontId="9" fillId="0" borderId="65" xfId="1173" applyFont="1" applyBorder="1" applyAlignment="1" applyProtection="1">
      <alignment horizontal="center" wrapText="1"/>
    </xf>
    <xf numFmtId="0" fontId="18" fillId="0" borderId="0" xfId="0" applyFont="1" applyFill="1" applyAlignment="1" applyProtection="1">
      <alignment horizontal="center"/>
    </xf>
    <xf numFmtId="0" fontId="18" fillId="0" borderId="0" xfId="1409" applyFont="1" applyFill="1" applyBorder="1" applyAlignment="1" applyProtection="1">
      <alignment horizontal="center"/>
    </xf>
    <xf numFmtId="0" fontId="4" fillId="0" borderId="0" xfId="0" applyFont="1" applyFill="1" applyAlignment="1" applyProtection="1">
      <alignment wrapText="1"/>
    </xf>
    <xf numFmtId="0" fontId="4" fillId="0" borderId="0" xfId="0" applyFont="1" applyFill="1" applyAlignment="1" applyProtection="1">
      <alignment horizontal="left"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left" vertical="top" wrapText="1"/>
    </xf>
    <xf numFmtId="3" fontId="18" fillId="0" borderId="0" xfId="1409" applyNumberFormat="1" applyFont="1" applyFill="1" applyBorder="1" applyAlignment="1" applyProtection="1">
      <alignment horizontal="center"/>
    </xf>
    <xf numFmtId="3" fontId="80" fillId="0" borderId="0" xfId="1532" applyFont="1" applyFill="1" applyBorder="1" applyAlignment="1" applyProtection="1">
      <alignment horizontal="left" wrapText="1"/>
    </xf>
    <xf numFmtId="3" fontId="4" fillId="0" borderId="0" xfId="1532" applyFont="1" applyFill="1" applyBorder="1" applyAlignment="1" applyProtection="1">
      <alignment horizontal="left" wrapText="1"/>
    </xf>
    <xf numFmtId="0" fontId="9" fillId="0" borderId="11" xfId="1409" applyFont="1" applyFill="1" applyBorder="1" applyAlignment="1" applyProtection="1">
      <alignment horizontal="center" wrapText="1"/>
    </xf>
    <xf numFmtId="0" fontId="65" fillId="0" borderId="0" xfId="1409" applyNumberFormat="1" applyFont="1" applyFill="1" applyBorder="1" applyAlignment="1" applyProtection="1">
      <alignment horizontal="center"/>
    </xf>
    <xf numFmtId="3" fontId="7" fillId="0" borderId="0" xfId="1409" applyNumberFormat="1" applyFont="1" applyFill="1" applyBorder="1" applyAlignment="1" applyProtection="1">
      <alignment horizontal="center"/>
    </xf>
    <xf numFmtId="3" fontId="54" fillId="0" borderId="0" xfId="1528" applyNumberFormat="1" applyFont="1" applyFill="1" applyAlignment="1" applyProtection="1">
      <alignment horizontal="left" wrapText="1"/>
    </xf>
    <xf numFmtId="0" fontId="119" fillId="0" borderId="0" xfId="878" applyFont="1" applyFill="1" applyAlignment="1" applyProtection="1">
      <alignment horizontal="left" wrapText="1"/>
    </xf>
    <xf numFmtId="0" fontId="7" fillId="0" borderId="0" xfId="1409" applyFont="1" applyFill="1" applyBorder="1" applyAlignment="1" applyProtection="1">
      <alignment horizontal="center" vertical="center"/>
    </xf>
    <xf numFmtId="0" fontId="8" fillId="0" borderId="0" xfId="1409" applyFont="1" applyFill="1" applyBorder="1" applyAlignment="1" applyProtection="1">
      <alignment horizontal="center" vertical="center"/>
    </xf>
    <xf numFmtId="0" fontId="14" fillId="0" borderId="11" xfId="0" applyFont="1" applyFill="1" applyBorder="1" applyAlignment="1" applyProtection="1">
      <alignment horizontal="center"/>
    </xf>
    <xf numFmtId="3" fontId="120" fillId="0" borderId="0" xfId="0" applyNumberFormat="1" applyFont="1" applyFill="1" applyAlignment="1" applyProtection="1">
      <alignment horizontal="center"/>
    </xf>
    <xf numFmtId="3" fontId="7" fillId="0" borderId="0" xfId="0" applyNumberFormat="1" applyFont="1" applyFill="1" applyAlignment="1" applyProtection="1">
      <alignment horizontal="center"/>
    </xf>
    <xf numFmtId="0" fontId="9" fillId="0" borderId="64" xfId="1172" applyFont="1" applyBorder="1" applyAlignment="1" applyProtection="1">
      <alignment horizontal="center"/>
    </xf>
    <xf numFmtId="0" fontId="9" fillId="0" borderId="14" xfId="1172" applyFont="1" applyBorder="1" applyAlignment="1" applyProtection="1">
      <alignment horizontal="center"/>
    </xf>
    <xf numFmtId="0" fontId="9" fillId="0" borderId="65" xfId="1172" applyFont="1" applyBorder="1" applyAlignment="1" applyProtection="1">
      <alignment horizontal="center"/>
    </xf>
    <xf numFmtId="0" fontId="15" fillId="0" borderId="0" xfId="1535" applyFont="1" applyFill="1" applyAlignment="1" applyProtection="1">
      <alignment horizontal="left" wrapText="1"/>
    </xf>
    <xf numFmtId="0" fontId="64" fillId="0" borderId="0" xfId="0" applyFont="1" applyAlignment="1" applyProtection="1">
      <alignment horizontal="center" wrapText="1"/>
    </xf>
    <xf numFmtId="0" fontId="8" fillId="0" borderId="0" xfId="0" applyFont="1" applyFill="1" applyAlignment="1" applyProtection="1">
      <alignment horizontal="center" wrapText="1"/>
    </xf>
    <xf numFmtId="3" fontId="8" fillId="0" borderId="0" xfId="0" applyNumberFormat="1" applyFont="1" applyAlignment="1" applyProtection="1">
      <alignment horizontal="center" wrapText="1"/>
    </xf>
    <xf numFmtId="0" fontId="15" fillId="0" borderId="0" xfId="1535" quotePrefix="1" applyFont="1" applyBorder="1" applyAlignment="1" applyProtection="1">
      <alignment horizontal="left" wrapText="1"/>
    </xf>
    <xf numFmtId="0" fontId="54" fillId="0" borderId="0" xfId="1528" applyFont="1" applyFill="1" applyAlignment="1" applyProtection="1">
      <alignment horizontal="left" wrapText="1"/>
    </xf>
    <xf numFmtId="0" fontId="17" fillId="0" borderId="0" xfId="1409" quotePrefix="1" applyFont="1" applyFill="1" applyBorder="1" applyAlignment="1" applyProtection="1">
      <alignment horizontal="center" wrapText="1"/>
    </xf>
    <xf numFmtId="0" fontId="13" fillId="0" borderId="0" xfId="0" applyFont="1" applyFill="1" applyAlignment="1" applyProtection="1">
      <alignment horizontal="center" wrapText="1"/>
    </xf>
    <xf numFmtId="3" fontId="54" fillId="0" borderId="0" xfId="1528" applyNumberFormat="1" applyFont="1" applyFill="1" applyAlignment="1" applyProtection="1">
      <alignment horizontal="left" vertical="top" wrapText="1"/>
    </xf>
    <xf numFmtId="0" fontId="4" fillId="0" borderId="0" xfId="1172" applyFont="1" applyAlignment="1" applyProtection="1">
      <alignment vertical="center" wrapText="1"/>
    </xf>
    <xf numFmtId="0" fontId="200" fillId="0" borderId="0" xfId="1172" applyFont="1" applyAlignment="1" applyProtection="1">
      <alignment horizontal="center"/>
    </xf>
    <xf numFmtId="0" fontId="201" fillId="0" borderId="70" xfId="1172" applyFont="1" applyBorder="1" applyAlignment="1" applyProtection="1">
      <alignment horizontal="center"/>
    </xf>
    <xf numFmtId="0" fontId="200" fillId="0" borderId="0" xfId="1172" applyFont="1" applyFill="1" applyAlignment="1" applyProtection="1">
      <alignment horizontal="center"/>
    </xf>
    <xf numFmtId="0" fontId="7" fillId="0" borderId="0" xfId="1172" applyFont="1" applyFill="1" applyAlignment="1" applyProtection="1">
      <alignment horizontal="center"/>
    </xf>
    <xf numFmtId="0" fontId="7" fillId="0" borderId="0" xfId="1172" applyFont="1" applyFill="1" applyBorder="1" applyAlignment="1" applyProtection="1">
      <alignment horizontal="center"/>
    </xf>
    <xf numFmtId="0" fontId="8" fillId="0" borderId="0" xfId="1172" applyFont="1" applyFill="1" applyBorder="1" applyAlignment="1" applyProtection="1">
      <alignment horizontal="center"/>
    </xf>
    <xf numFmtId="3" fontId="8" fillId="0" borderId="0" xfId="1172" applyNumberFormat="1" applyFont="1" applyFill="1" applyBorder="1" applyAlignment="1" applyProtection="1">
      <alignment horizontal="center"/>
    </xf>
    <xf numFmtId="172" fontId="18" fillId="0" borderId="0" xfId="881" applyFont="1" applyFill="1" applyAlignment="1" applyProtection="1"/>
    <xf numFmtId="0" fontId="18" fillId="28" borderId="0" xfId="198" applyNumberFormat="1" applyFont="1" applyFill="1" applyAlignment="1" applyProtection="1">
      <alignment horizontal="right"/>
    </xf>
    <xf numFmtId="0" fontId="18" fillId="0" borderId="0" xfId="198" applyNumberFormat="1" applyFont="1" applyFill="1" applyAlignment="1" applyProtection="1"/>
    <xf numFmtId="0" fontId="18" fillId="0" borderId="0" xfId="881" applyNumberFormat="1" applyFont="1" applyFill="1" applyAlignment="1" applyProtection="1">
      <alignment horizontal="right"/>
    </xf>
    <xf numFmtId="0" fontId="18" fillId="0" borderId="0" xfId="881" applyNumberFormat="1" applyFont="1" applyFill="1" applyProtection="1"/>
    <xf numFmtId="173" fontId="18" fillId="0" borderId="0" xfId="198" applyNumberFormat="1" applyFont="1" applyFill="1" applyProtection="1"/>
    <xf numFmtId="173" fontId="18" fillId="0" borderId="0" xfId="0" applyNumberFormat="1" applyFont="1" applyFill="1" applyProtection="1"/>
    <xf numFmtId="0" fontId="18" fillId="28" borderId="0" xfId="198" applyNumberFormat="1" applyFont="1" applyFill="1" applyAlignment="1" applyProtection="1"/>
  </cellXfs>
  <cellStyles count="1538">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2" xfId="7" builtinId="34" customBuiltin="1"/>
    <cellStyle name="20% - Accent2 2" xfId="8"/>
    <cellStyle name="20% - Accent2 2 2" xfId="9"/>
    <cellStyle name="20% - Accent2 2 2 2" xfId="1224"/>
    <cellStyle name="20% - Accent2 2 3" xfId="10"/>
    <cellStyle name="20% - Accent2 2 3 2" xfId="1225"/>
    <cellStyle name="20% - Accent2 2 4" xfId="11"/>
    <cellStyle name="20% - Accent2 2 5" xfId="12"/>
    <cellStyle name="20% - Accent2 3" xfId="1226"/>
    <cellStyle name="20% - Accent2 4" xfId="1453"/>
    <cellStyle name="20% - Accent2 5" xfId="1189"/>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4" xfId="29"/>
    <cellStyle name="20% - Accent5 2 5" xfId="30"/>
    <cellStyle name="20% - Accent5 3" xfId="1247"/>
    <cellStyle name="20% - Accent5 4" xfId="1456"/>
    <cellStyle name="20% - Accent5 5" xfId="1195"/>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4" xfId="35"/>
    <cellStyle name="20% - Accent6 2 5" xfId="36"/>
    <cellStyle name="20% - Accent6 3" xfId="1250"/>
    <cellStyle name="20% - Accent6 4" xfId="1457"/>
    <cellStyle name="20% - Accent6 5" xfId="1197"/>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4" xfId="47"/>
    <cellStyle name="40% - Accent2 2 5" xfId="48"/>
    <cellStyle name="40% - Accent2 3" xfId="1262"/>
    <cellStyle name="40% - Accent2 4" xfId="1459"/>
    <cellStyle name="40% - Accent2 5" xfId="1190"/>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4" xfId="65"/>
    <cellStyle name="40% - Accent5 2 5" xfId="66"/>
    <cellStyle name="40% - Accent5 3" xfId="1283"/>
    <cellStyle name="40% - Accent5 4" xfId="1462"/>
    <cellStyle name="40% - Accent5 5" xfId="1196"/>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3" xfId="1476"/>
    <cellStyle name="C01H" xfId="157"/>
    <cellStyle name="C01L" xfId="158"/>
    <cellStyle name="C02A" xfId="159"/>
    <cellStyle name="C02B" xfId="160"/>
    <cellStyle name="C02B 2" xfId="161"/>
    <cellStyle name="C02B 3" xfId="1477"/>
    <cellStyle name="C02H" xfId="162"/>
    <cellStyle name="C02L" xfId="163"/>
    <cellStyle name="C03A" xfId="164"/>
    <cellStyle name="C03B" xfId="165"/>
    <cellStyle name="C03H" xfId="166"/>
    <cellStyle name="C03L" xfId="167"/>
    <cellStyle name="C04A" xfId="168"/>
    <cellStyle name="C04A 2" xfId="169"/>
    <cellStyle name="C04A 3" xfId="1478"/>
    <cellStyle name="C04B" xfId="170"/>
    <cellStyle name="C04H" xfId="171"/>
    <cellStyle name="C04L" xfId="172"/>
    <cellStyle name="C05A" xfId="173"/>
    <cellStyle name="C05B" xfId="174"/>
    <cellStyle name="C05H" xfId="175"/>
    <cellStyle name="C05L" xfId="176"/>
    <cellStyle name="C05L 2" xfId="177"/>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2" xfId="205"/>
    <cellStyle name="Comma 102 2" xfId="206"/>
    <cellStyle name="Comma 103" xfId="207"/>
    <cellStyle name="Comma 103 2" xfId="208"/>
    <cellStyle name="Comma 104" xfId="209"/>
    <cellStyle name="Comma 104 2" xfId="210"/>
    <cellStyle name="Comma 105" xfId="211"/>
    <cellStyle name="Comma 105 2" xfId="212"/>
    <cellStyle name="Comma 106" xfId="213"/>
    <cellStyle name="Comma 106 2" xfId="214"/>
    <cellStyle name="Comma 107" xfId="215"/>
    <cellStyle name="Comma 107 2" xfId="216"/>
    <cellStyle name="Comma 108" xfId="217"/>
    <cellStyle name="Comma 108 2" xfId="218"/>
    <cellStyle name="Comma 109" xfId="219"/>
    <cellStyle name="Comma 11" xfId="220"/>
    <cellStyle name="Comma 11 2" xfId="1328"/>
    <cellStyle name="Comma 11 3" xfId="1327"/>
    <cellStyle name="Comma 110" xfId="221"/>
    <cellStyle name="Comma 110 2" xfId="1184"/>
    <cellStyle name="Comma 111" xfId="222"/>
    <cellStyle name="Comma 112" xfId="223"/>
    <cellStyle name="Comma 112 2" xfId="224"/>
    <cellStyle name="Comma 113" xfId="225"/>
    <cellStyle name="Comma 113 2" xfId="226"/>
    <cellStyle name="Comma 114" xfId="227"/>
    <cellStyle name="Comma 114 2" xfId="228"/>
    <cellStyle name="Comma 115" xfId="229"/>
    <cellStyle name="Comma 115 2" xfId="230"/>
    <cellStyle name="Comma 116" xfId="231"/>
    <cellStyle name="Comma 116 2" xfId="232"/>
    <cellStyle name="Comma 116 3" xfId="1529"/>
    <cellStyle name="Comma 117" xfId="233"/>
    <cellStyle name="Comma 117 2" xfId="234"/>
    <cellStyle name="Comma 117 3" xfId="1530"/>
    <cellStyle name="Comma 118" xfId="235"/>
    <cellStyle name="Comma 118 2" xfId="236"/>
    <cellStyle name="Comma 118 3" xfId="1531"/>
    <cellStyle name="Comma 119" xfId="237"/>
    <cellStyle name="Comma 119 2" xfId="238"/>
    <cellStyle name="Comma 12" xfId="239"/>
    <cellStyle name="Comma 12 2" xfId="240"/>
    <cellStyle name="Comma 12 2 2" xfId="241"/>
    <cellStyle name="Comma 12 2 3" xfId="242"/>
    <cellStyle name="Comma 12 2 4" xfId="1156"/>
    <cellStyle name="Comma 12 2 5" xfId="1330"/>
    <cellStyle name="Comma 12 3" xfId="1329"/>
    <cellStyle name="Comma 120" xfId="243"/>
    <cellStyle name="Comma 120 2" xfId="244"/>
    <cellStyle name="Comma 121" xfId="245"/>
    <cellStyle name="Comma 121 2" xfId="246"/>
    <cellStyle name="Comma 122" xfId="247"/>
    <cellStyle name="Comma 122 2" xfId="248"/>
    <cellStyle name="Comma 123" xfId="249"/>
    <cellStyle name="Comma 123 2" xfId="250"/>
    <cellStyle name="Comma 124" xfId="251"/>
    <cellStyle name="Comma 124 2" xfId="252"/>
    <cellStyle name="Comma 125" xfId="253"/>
    <cellStyle name="Comma 125 2" xfId="254"/>
    <cellStyle name="Comma 126" xfId="255"/>
    <cellStyle name="Comma 126 2" xfId="256"/>
    <cellStyle name="Comma 127" xfId="257"/>
    <cellStyle name="Comma 127 2" xfId="258"/>
    <cellStyle name="Comma 128" xfId="259"/>
    <cellStyle name="Comma 128 2" xfId="260"/>
    <cellStyle name="Comma 129" xfId="261"/>
    <cellStyle name="Comma 129 2" xfId="262"/>
    <cellStyle name="Comma 13" xfId="263"/>
    <cellStyle name="Comma 13 2" xfId="1331"/>
    <cellStyle name="Comma 130" xfId="264"/>
    <cellStyle name="Comma 130 2" xfId="265"/>
    <cellStyle name="Comma 131" xfId="266"/>
    <cellStyle name="Comma 132" xfId="267"/>
    <cellStyle name="Comma 133" xfId="268"/>
    <cellStyle name="Comma 134" xfId="1155"/>
    <cellStyle name="Comma 135" xfId="1165"/>
    <cellStyle name="Comma 136" xfId="1199"/>
    <cellStyle name="Comma 137" xfId="1440"/>
    <cellStyle name="Comma 138" xfId="1527"/>
    <cellStyle name="Comma 139" xfId="1510"/>
    <cellStyle name="Comma 14" xfId="269"/>
    <cellStyle name="Comma 14 2" xfId="1332"/>
    <cellStyle name="Comma 140" xfId="1537"/>
    <cellStyle name="Comma 15" xfId="270"/>
    <cellStyle name="Comma 15 2" xfId="1333"/>
    <cellStyle name="Comma 16" xfId="271"/>
    <cellStyle name="Comma 16 2" xfId="1334"/>
    <cellStyle name="Comma 17" xfId="272"/>
    <cellStyle name="Comma 17 2" xfId="1335"/>
    <cellStyle name="Comma 18" xfId="273"/>
    <cellStyle name="Comma 18 2" xfId="1336"/>
    <cellStyle name="Comma 19" xfId="274"/>
    <cellStyle name="Comma 19 2" xfId="1337"/>
    <cellStyle name="Comma 2" xfId="275"/>
    <cellStyle name="Comma 2 2" xfId="276"/>
    <cellStyle name="Comma 2 2 2" xfId="277"/>
    <cellStyle name="Comma 2 2 3" xfId="1201"/>
    <cellStyle name="Comma 2 3" xfId="278"/>
    <cellStyle name="Comma 2 3 2" xfId="279"/>
    <cellStyle name="Comma 2 3 3" xfId="280"/>
    <cellStyle name="Comma 2 3 4" xfId="281"/>
    <cellStyle name="Comma 2 3 5" xfId="1524"/>
    <cellStyle name="Comma 2 4" xfId="282"/>
    <cellStyle name="Comma 2 5" xfId="1175"/>
    <cellStyle name="Comma 20" xfId="283"/>
    <cellStyle name="Comma 20 2" xfId="1338"/>
    <cellStyle name="Comma 21" xfId="284"/>
    <cellStyle name="Comma 21 2" xfId="1340"/>
    <cellStyle name="Comma 21 3" xfId="1339"/>
    <cellStyle name="Comma 22" xfId="285"/>
    <cellStyle name="Comma 22 2" xfId="1341"/>
    <cellStyle name="Comma 23" xfId="286"/>
    <cellStyle name="Comma 23 2" xfId="1342"/>
    <cellStyle name="Comma 24" xfId="287"/>
    <cellStyle name="Comma 24 2" xfId="1343"/>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3" xfId="301"/>
    <cellStyle name="Comma 3 11" xfId="302"/>
    <cellStyle name="Comma 3 11 2" xfId="303"/>
    <cellStyle name="Comma 3 12" xfId="304"/>
    <cellStyle name="Comma 3 12 2" xfId="305"/>
    <cellStyle name="Comma 3 13" xfId="306"/>
    <cellStyle name="Comma 3 13 2" xfId="307"/>
    <cellStyle name="Comma 3 14" xfId="308"/>
    <cellStyle name="Comma 3 2" xfId="309"/>
    <cellStyle name="Comma 3 2 2" xfId="310"/>
    <cellStyle name="Comma 3 2 3" xfId="1344"/>
    <cellStyle name="Comma 3 3" xfId="311"/>
    <cellStyle name="Comma 3 3 2" xfId="312"/>
    <cellStyle name="Comma 3 3 2 2" xfId="313"/>
    <cellStyle name="Comma 3 3 2 3" xfId="314"/>
    <cellStyle name="Comma 3 3 3" xfId="315"/>
    <cellStyle name="Comma 3 3 3 2" xfId="316"/>
    <cellStyle name="Comma 3 3 3 2 2" xfId="317"/>
    <cellStyle name="Comma 3 3 3 2 3" xfId="318"/>
    <cellStyle name="Comma 3 3 3 2 4" xfId="319"/>
    <cellStyle name="Comma 3 3 3 2 5" xfId="320"/>
    <cellStyle name="Comma 3 3 3 3" xfId="321"/>
    <cellStyle name="Comma 3 3 4" xfId="322"/>
    <cellStyle name="Comma 3 3 5" xfId="323"/>
    <cellStyle name="Comma 3 3 5 2" xfId="324"/>
    <cellStyle name="Comma 3 3 5 3" xfId="325"/>
    <cellStyle name="Comma 3 3 5 4" xfId="326"/>
    <cellStyle name="Comma 3 3 5 5" xfId="327"/>
    <cellStyle name="Comma 3 3 6" xfId="328"/>
    <cellStyle name="Comma 3 3 7" xfId="1183"/>
    <cellStyle name="Comma 3 4" xfId="329"/>
    <cellStyle name="Comma 3 4 2" xfId="330"/>
    <cellStyle name="Comma 3 4 3" xfId="331"/>
    <cellStyle name="Comma 3 4 4" xfId="332"/>
    <cellStyle name="Comma 3 4 4 2" xfId="333"/>
    <cellStyle name="Comma 3 4 4 3" xfId="334"/>
    <cellStyle name="Comma 3 4 4 4" xfId="335"/>
    <cellStyle name="Comma 3 4 4 5" xfId="336"/>
    <cellStyle name="Comma 3 4 5" xfId="337"/>
    <cellStyle name="Comma 3 4 6" xfId="1525"/>
    <cellStyle name="Comma 3 5" xfId="338"/>
    <cellStyle name="Comma 3 5 2" xfId="339"/>
    <cellStyle name="Comma 3 5 3" xfId="340"/>
    <cellStyle name="Comma 3 5 3 2" xfId="341"/>
    <cellStyle name="Comma 3 5 3 3" xfId="342"/>
    <cellStyle name="Comma 3 6" xfId="343"/>
    <cellStyle name="Comma 3 6 2" xfId="1126"/>
    <cellStyle name="Comma 3 7" xfId="344"/>
    <cellStyle name="Comma 3 7 2" xfId="1127"/>
    <cellStyle name="Comma 3 8" xfId="345"/>
    <cellStyle name="Comma 3 9" xfId="346"/>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9" xfId="356"/>
    <cellStyle name="Comma 4" xfId="357"/>
    <cellStyle name="Comma 4 2" xfId="358"/>
    <cellStyle name="Comma 4 2 2" xfId="359"/>
    <cellStyle name="Comma 4 2 2 2" xfId="360"/>
    <cellStyle name="Comma 4 2 2 3" xfId="361"/>
    <cellStyle name="Comma 4 2 2 4" xfId="362"/>
    <cellStyle name="Comma 4 2 2 5" xfId="363"/>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5" xfId="374"/>
    <cellStyle name="Comma 4 2 6" xfId="375"/>
    <cellStyle name="Comma 4 2 7" xfId="376"/>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3" xfId="395"/>
    <cellStyle name="Comma 4 4 4" xfId="396"/>
    <cellStyle name="Comma 4 4 5" xfId="397"/>
    <cellStyle name="Comma 4 5" xfId="398"/>
    <cellStyle name="Comma 4 5 2" xfId="399"/>
    <cellStyle name="Comma 4 6" xfId="400"/>
    <cellStyle name="Comma 4 7" xfId="401"/>
    <cellStyle name="Comma 4 7 2" xfId="402"/>
    <cellStyle name="Comma 4 7 3" xfId="403"/>
    <cellStyle name="Comma 4 8" xfId="1157"/>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3" xfId="417"/>
    <cellStyle name="Comma 5 2 4" xfId="1360"/>
    <cellStyle name="Comma 5 3" xfId="418"/>
    <cellStyle name="Comma 5 4" xfId="1359"/>
    <cellStyle name="Comma 50" xfId="419"/>
    <cellStyle name="Comma 50 2" xfId="1518"/>
    <cellStyle name="Comma 51" xfId="420"/>
    <cellStyle name="Comma 51 2" xfId="1520"/>
    <cellStyle name="Comma 52" xfId="421"/>
    <cellStyle name="Comma 52 2" xfId="422"/>
    <cellStyle name="Comma 53" xfId="423"/>
    <cellStyle name="Comma 54" xfId="424"/>
    <cellStyle name="Comma 55" xfId="425"/>
    <cellStyle name="Comma 56" xfId="426"/>
    <cellStyle name="Comma 57" xfId="427"/>
    <cellStyle name="Comma 57 2" xfId="428"/>
    <cellStyle name="Comma 57 3" xfId="429"/>
    <cellStyle name="Comma 57 4" xfId="430"/>
    <cellStyle name="Comma 57 5" xfId="431"/>
    <cellStyle name="Comma 58" xfId="432"/>
    <cellStyle name="Comma 58 2" xfId="433"/>
    <cellStyle name="Comma 58 3" xfId="434"/>
    <cellStyle name="Comma 58 4" xfId="435"/>
    <cellStyle name="Comma 58 5" xfId="436"/>
    <cellStyle name="Comma 59" xfId="437"/>
    <cellStyle name="Comma 59 2" xfId="438"/>
    <cellStyle name="Comma 59 3" xfId="439"/>
    <cellStyle name="Comma 59 4" xfId="440"/>
    <cellStyle name="Comma 59 5" xfId="441"/>
    <cellStyle name="Comma 6" xfId="442"/>
    <cellStyle name="Comma 6 2" xfId="443"/>
    <cellStyle name="Comma 6 2 2" xfId="1174"/>
    <cellStyle name="Comma 6 2 3" xfId="1362"/>
    <cellStyle name="Comma 6 3" xfId="444"/>
    <cellStyle name="Comma 6 3 2" xfId="1159"/>
    <cellStyle name="Comma 6 4" xfId="445"/>
    <cellStyle name="Comma 6 4 2" xfId="446"/>
    <cellStyle name="Comma 6 4 3" xfId="447"/>
    <cellStyle name="Comma 6 4 4" xfId="448"/>
    <cellStyle name="Comma 6 4 5" xfId="449"/>
    <cellStyle name="Comma 6 5" xfId="450"/>
    <cellStyle name="Comma 6 6" xfId="451"/>
    <cellStyle name="Comma 6 7" xfId="452"/>
    <cellStyle name="Comma 6 7 2" xfId="453"/>
    <cellStyle name="Comma 6 7 3" xfId="454"/>
    <cellStyle name="Comma 6 8" xfId="1158"/>
    <cellStyle name="Comma 6 9" xfId="1361"/>
    <cellStyle name="Comma 60" xfId="455"/>
    <cellStyle name="Comma 60 2" xfId="456"/>
    <cellStyle name="Comma 60 3" xfId="457"/>
    <cellStyle name="Comma 60 4" xfId="458"/>
    <cellStyle name="Comma 60 5" xfId="459"/>
    <cellStyle name="Comma 61" xfId="460"/>
    <cellStyle name="Comma 61 2" xfId="461"/>
    <cellStyle name="Comma 61 3" xfId="462"/>
    <cellStyle name="Comma 61 4" xfId="463"/>
    <cellStyle name="Comma 61 5" xfId="464"/>
    <cellStyle name="Comma 62" xfId="465"/>
    <cellStyle name="Comma 62 2" xfId="466"/>
    <cellStyle name="Comma 62 3" xfId="467"/>
    <cellStyle name="Comma 62 4" xfId="468"/>
    <cellStyle name="Comma 63" xfId="469"/>
    <cellStyle name="Comma 63 2" xfId="470"/>
    <cellStyle name="Comma 63 3" xfId="471"/>
    <cellStyle name="Comma 63 4" xfId="472"/>
    <cellStyle name="Comma 64" xfId="473"/>
    <cellStyle name="Comma 64 2" xfId="474"/>
    <cellStyle name="Comma 64 3" xfId="475"/>
    <cellStyle name="Comma 64 4" xfId="476"/>
    <cellStyle name="Comma 65" xfId="477"/>
    <cellStyle name="Comma 65 2" xfId="478"/>
    <cellStyle name="Comma 65 3" xfId="479"/>
    <cellStyle name="Comma 65 4" xfId="480"/>
    <cellStyle name="Comma 66" xfId="481"/>
    <cellStyle name="Comma 66 2" xfId="482"/>
    <cellStyle name="Comma 66 3" xfId="483"/>
    <cellStyle name="Comma 66 4" xfId="484"/>
    <cellStyle name="Comma 67" xfId="485"/>
    <cellStyle name="Comma 67 2" xfId="486"/>
    <cellStyle name="Comma 67 3" xfId="487"/>
    <cellStyle name="Comma 67 4" xfId="488"/>
    <cellStyle name="Comma 68" xfId="489"/>
    <cellStyle name="Comma 68 2" xfId="490"/>
    <cellStyle name="Comma 68 3" xfId="491"/>
    <cellStyle name="Comma 68 4" xfId="492"/>
    <cellStyle name="Comma 69" xfId="493"/>
    <cellStyle name="Comma 69 2" xfId="494"/>
    <cellStyle name="Comma 7" xfId="495"/>
    <cellStyle name="Comma 7 2" xfId="496"/>
    <cellStyle name="Comma 7 2 2" xfId="1364"/>
    <cellStyle name="Comma 7 3" xfId="1182"/>
    <cellStyle name="Comma 7 4" xfId="1363"/>
    <cellStyle name="Comma 70" xfId="497"/>
    <cellStyle name="Comma 70 2" xfId="498"/>
    <cellStyle name="Comma 71" xfId="499"/>
    <cellStyle name="Comma 71 2" xfId="500"/>
    <cellStyle name="Comma 72" xfId="501"/>
    <cellStyle name="Comma 73" xfId="502"/>
    <cellStyle name="Comma 74" xfId="503"/>
    <cellStyle name="Comma 75" xfId="504"/>
    <cellStyle name="Comma 76" xfId="505"/>
    <cellStyle name="Comma 77" xfId="506"/>
    <cellStyle name="Comma 78" xfId="507"/>
    <cellStyle name="Comma 79" xfId="508"/>
    <cellStyle name="Comma 8" xfId="509"/>
    <cellStyle name="Comma 8 2" xfId="1365"/>
    <cellStyle name="Comma 80" xfId="510"/>
    <cellStyle name="Comma 81" xfId="511"/>
    <cellStyle name="Comma 82" xfId="512"/>
    <cellStyle name="Comma 83" xfId="513"/>
    <cellStyle name="Comma 84" xfId="514"/>
    <cellStyle name="Comma 85" xfId="515"/>
    <cellStyle name="Comma 86" xfId="516"/>
    <cellStyle name="Comma 87" xfId="517"/>
    <cellStyle name="Comma 88" xfId="518"/>
    <cellStyle name="Comma 89" xfId="519"/>
    <cellStyle name="Comma 9" xfId="520"/>
    <cellStyle name="Comma 9 2" xfId="1366"/>
    <cellStyle name="Comma 90" xfId="521"/>
    <cellStyle name="Comma 91" xfId="522"/>
    <cellStyle name="Comma 92" xfId="523"/>
    <cellStyle name="Comma 92 2" xfId="524"/>
    <cellStyle name="Comma 92 3" xfId="525"/>
    <cellStyle name="Comma 93" xfId="526"/>
    <cellStyle name="Comma 93 2" xfId="527"/>
    <cellStyle name="Comma 93 3" xfId="528"/>
    <cellStyle name="Comma 94" xfId="529"/>
    <cellStyle name="Comma 95" xfId="530"/>
    <cellStyle name="Comma 96" xfId="531"/>
    <cellStyle name="Comma 97" xfId="532"/>
    <cellStyle name="Comma 98" xfId="533"/>
    <cellStyle name="Comma 99" xfId="534"/>
    <cellStyle name="Comma_spp calc - revsd rev crd" xfId="535"/>
    <cellStyle name="Comma0" xfId="536"/>
    <cellStyle name="Comma0 2" xfId="537"/>
    <cellStyle name="Comma0 2 2" xfId="538"/>
    <cellStyle name="Comma0 2 3" xfId="539"/>
    <cellStyle name="Comma0 2 4" xfId="540"/>
    <cellStyle name="Comma0 2 5" xfId="541"/>
    <cellStyle name="Comma0 2 6" xfId="542"/>
    <cellStyle name="Comma0 3" xfId="543"/>
    <cellStyle name="Comma0 4" xfId="1367"/>
    <cellStyle name="Currency" xfId="1536" builtinId="4"/>
    <cellStyle name="Currency 10" xfId="544"/>
    <cellStyle name="Currency 11" xfId="545"/>
    <cellStyle name="Currency 11 2" xfId="546"/>
    <cellStyle name="Currency 11 3" xfId="547"/>
    <cellStyle name="Currency 12" xfId="548"/>
    <cellStyle name="Currency 12 2" xfId="549"/>
    <cellStyle name="Currency 13" xfId="550"/>
    <cellStyle name="Currency 2" xfId="551"/>
    <cellStyle name="Currency 2 2" xfId="552"/>
    <cellStyle name="Currency 2 2 2" xfId="553"/>
    <cellStyle name="Currency 2 2 3" xfId="1368"/>
    <cellStyle name="Currency 2 3" xfId="554"/>
    <cellStyle name="Currency 2 4" xfId="1181"/>
    <cellStyle name="Currency 3" xfId="555"/>
    <cellStyle name="Currency 3 10" xfId="556"/>
    <cellStyle name="Currency 3 10 2" xfId="557"/>
    <cellStyle name="Currency 3 10 3" xfId="558"/>
    <cellStyle name="Currency 3 11" xfId="559"/>
    <cellStyle name="Currency 3 11 2" xfId="560"/>
    <cellStyle name="Currency 3 12" xfId="561"/>
    <cellStyle name="Currency 3 12 2" xfId="562"/>
    <cellStyle name="Currency 3 13" xfId="563"/>
    <cellStyle name="Currency 3 13 2" xfId="564"/>
    <cellStyle name="Currency 3 14" xfId="565"/>
    <cellStyle name="Currency 3 15" xfId="1369"/>
    <cellStyle name="Currency 3 2" xfId="566"/>
    <cellStyle name="Currency 3 2 2" xfId="567"/>
    <cellStyle name="Currency 3 2 3" xfId="1483"/>
    <cellStyle name="Currency 3 3" xfId="568"/>
    <cellStyle name="Currency 3 3 2" xfId="569"/>
    <cellStyle name="Currency 3 3 2 2" xfId="570"/>
    <cellStyle name="Currency 3 3 2 3" xfId="571"/>
    <cellStyle name="Currency 3 3 3" xfId="572"/>
    <cellStyle name="Currency 3 3 3 2" xfId="573"/>
    <cellStyle name="Currency 3 3 3 2 2" xfId="574"/>
    <cellStyle name="Currency 3 3 3 2 3" xfId="575"/>
    <cellStyle name="Currency 3 3 3 2 4" xfId="576"/>
    <cellStyle name="Currency 3 3 3 2 5" xfId="577"/>
    <cellStyle name="Currency 3 3 3 3" xfId="578"/>
    <cellStyle name="Currency 3 3 4" xfId="579"/>
    <cellStyle name="Currency 3 3 5" xfId="580"/>
    <cellStyle name="Currency 3 3 5 2" xfId="581"/>
    <cellStyle name="Currency 3 3 5 3" xfId="582"/>
    <cellStyle name="Currency 3 3 5 4" xfId="583"/>
    <cellStyle name="Currency 3 3 5 5" xfId="584"/>
    <cellStyle name="Currency 3 3 6" xfId="585"/>
    <cellStyle name="Currency 3 3 7" xfId="1482"/>
    <cellStyle name="Currency 3 4" xfId="586"/>
    <cellStyle name="Currency 3 4 2" xfId="587"/>
    <cellStyle name="Currency 3 4 3" xfId="588"/>
    <cellStyle name="Currency 3 4 4" xfId="589"/>
    <cellStyle name="Currency 3 4 4 2" xfId="590"/>
    <cellStyle name="Currency 3 4 4 3" xfId="591"/>
    <cellStyle name="Currency 3 4 4 4" xfId="592"/>
    <cellStyle name="Currency 3 4 4 5" xfId="593"/>
    <cellStyle name="Currency 3 4 5" xfId="594"/>
    <cellStyle name="Currency 3 4 6" xfId="1521"/>
    <cellStyle name="Currency 3 5" xfId="595"/>
    <cellStyle name="Currency 3 5 2" xfId="596"/>
    <cellStyle name="Currency 3 6" xfId="597"/>
    <cellStyle name="Currency 3 6 2" xfId="1128"/>
    <cellStyle name="Currency 3 7" xfId="598"/>
    <cellStyle name="Currency 3 8" xfId="599"/>
    <cellStyle name="Currency 3 9" xfId="600"/>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3" xfId="621"/>
    <cellStyle name="Currency 4 3" xfId="622"/>
    <cellStyle name="Currency 4 3 2" xfId="623"/>
    <cellStyle name="Currency 4 3 2 2" xfId="624"/>
    <cellStyle name="Currency 4 3 2 3" xfId="625"/>
    <cellStyle name="Currency 4 3 2 4" xfId="626"/>
    <cellStyle name="Currency 4 3 2 5" xfId="627"/>
    <cellStyle name="Currency 4 3 3" xfId="628"/>
    <cellStyle name="Currency 4 4" xfId="629"/>
    <cellStyle name="Currency 4 5" xfId="630"/>
    <cellStyle name="Currency 4 5 2" xfId="631"/>
    <cellStyle name="Currency 4 5 3" xfId="632"/>
    <cellStyle name="Currency 4 5 4" xfId="633"/>
    <cellStyle name="Currency 4 5 5" xfId="634"/>
    <cellStyle name="Currency 4 6" xfId="1160"/>
    <cellStyle name="Currency 4 7" xfId="1370"/>
    <cellStyle name="Currency 5" xfId="635"/>
    <cellStyle name="Currency 5 2" xfId="636"/>
    <cellStyle name="Currency 5 2 2" xfId="1372"/>
    <cellStyle name="Currency 5 3" xfId="637"/>
    <cellStyle name="Currency 5 4" xfId="638"/>
    <cellStyle name="Currency 5 4 2" xfId="639"/>
    <cellStyle name="Currency 5 4 3" xfId="640"/>
    <cellStyle name="Currency 5 4 4" xfId="641"/>
    <cellStyle name="Currency 5 4 5" xfId="642"/>
    <cellStyle name="Currency 5 5" xfId="643"/>
    <cellStyle name="Currency 5 6" xfId="1371"/>
    <cellStyle name="Currency 6" xfId="644"/>
    <cellStyle name="Currency 6 2" xfId="645"/>
    <cellStyle name="Currency 6 2 2" xfId="1373"/>
    <cellStyle name="Currency 6 3" xfId="646"/>
    <cellStyle name="Currency 6 3 2" xfId="647"/>
    <cellStyle name="Currency 6 3 3" xfId="648"/>
    <cellStyle name="Currency 6 3 4" xfId="649"/>
    <cellStyle name="Currency 6 3 5" xfId="650"/>
    <cellStyle name="Currency 6 4" xfId="651"/>
    <cellStyle name="Currency 6 4 2" xfId="652"/>
    <cellStyle name="Currency 6 4 3" xfId="653"/>
    <cellStyle name="Currency 6 5" xfId="1161"/>
    <cellStyle name="Currency 7" xfId="654"/>
    <cellStyle name="Currency 7 2" xfId="1204"/>
    <cellStyle name="Currency 8" xfId="655"/>
    <cellStyle name="Currency 8 2" xfId="1481"/>
    <cellStyle name="Currency 9" xfId="656"/>
    <cellStyle name="Currency0" xfId="657"/>
    <cellStyle name="Currency0 2" xfId="658"/>
    <cellStyle name="Currency0 2 2" xfId="659"/>
    <cellStyle name="Currency0 2 3" xfId="660"/>
    <cellStyle name="Currency0 2 4" xfId="661"/>
    <cellStyle name="Currency0 2 5" xfId="662"/>
    <cellStyle name="Currency0 2 6" xfId="663"/>
    <cellStyle name="Currency0 3" xfId="664"/>
    <cellStyle name="Currency0 4" xfId="1374"/>
    <cellStyle name="Date" xfId="665"/>
    <cellStyle name="Date 2" xfId="666"/>
    <cellStyle name="Date 2 2" xfId="667"/>
    <cellStyle name="Date 2 3" xfId="668"/>
    <cellStyle name="Date 2 4" xfId="669"/>
    <cellStyle name="Date 2 5" xfId="670"/>
    <cellStyle name="Date 2 6" xfId="671"/>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4" xfId="683"/>
    <cellStyle name="Fixed 2 5" xfId="684"/>
    <cellStyle name="Fixed 2 6" xfId="685"/>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3" xfId="739"/>
    <cellStyle name="M 3 2" xfId="740"/>
    <cellStyle name="M 3 2 2" xfId="741"/>
    <cellStyle name="M 4" xfId="742"/>
    <cellStyle name="M 5" xfId="743"/>
    <cellStyle name="M 5 2" xfId="744"/>
    <cellStyle name="M 6" xfId="745"/>
    <cellStyle name="M 6 2" xfId="746"/>
    <cellStyle name="M 7" xfId="747"/>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3" xfId="1398"/>
    <cellStyle name="Normal 10 3" xfId="757"/>
    <cellStyle name="Normal 10 4" xfId="1397"/>
    <cellStyle name="Normal 11" xfId="758"/>
    <cellStyle name="Normal 11 2" xfId="759"/>
    <cellStyle name="Normal 11 2 2" xfId="760"/>
    <cellStyle name="Normal 11 2 2 2" xfId="1528"/>
    <cellStyle name="Normal 11 2 3" xfId="1400"/>
    <cellStyle name="Normal 11 3" xfId="761"/>
    <cellStyle name="Normal 11 3 2" xfId="1162"/>
    <cellStyle name="Normal 11 4" xfId="762"/>
    <cellStyle name="Normal 11 5" xfId="1399"/>
    <cellStyle name="Normal 12" xfId="763"/>
    <cellStyle name="Normal 12 2" xfId="764"/>
    <cellStyle name="Normal 12 2 2" xfId="1163"/>
    <cellStyle name="Normal 12 2 3" xfId="1402"/>
    <cellStyle name="Normal 12 3" xfId="765"/>
    <cellStyle name="Normal 12 4" xfId="766"/>
    <cellStyle name="Normal 12 4 2" xfId="1164"/>
    <cellStyle name="Normal 12 5" xfId="767"/>
    <cellStyle name="Normal 12 6" xfId="1401"/>
    <cellStyle name="Normal 13" xfId="768"/>
    <cellStyle name="Normal 13 2" xfId="1129"/>
    <cellStyle name="Normal 13 3" xfId="1403"/>
    <cellStyle name="Normal 14" xfId="769"/>
    <cellStyle name="Normal 14 2" xfId="1130"/>
    <cellStyle name="Normal 14 3" xfId="1404"/>
    <cellStyle name="Normal 15" xfId="770"/>
    <cellStyle name="Normal 15 2" xfId="1206"/>
    <cellStyle name="Normal 16" xfId="771"/>
    <cellStyle name="Normal 16 2" xfId="1131"/>
    <cellStyle name="Normal 16 3" xfId="1207"/>
    <cellStyle name="Normal 17" xfId="772"/>
    <cellStyle name="Normal 17 2" xfId="1132"/>
    <cellStyle name="Normal 17 3" xfId="1202"/>
    <cellStyle name="Normal 18" xfId="773"/>
    <cellStyle name="Normal 18 2" xfId="1133"/>
    <cellStyle name="Normal 18 3" xfId="1209"/>
    <cellStyle name="Normal 19" xfId="774"/>
    <cellStyle name="Normal 19 2" xfId="1134"/>
    <cellStyle name="Normal 19 3" xfId="1203"/>
    <cellStyle name="Normal 2" xfId="775"/>
    <cellStyle name="Normal 2 2" xfId="776"/>
    <cellStyle name="Normal 2 2 2" xfId="777"/>
    <cellStyle name="Normal 2 2 2 2" xfId="778"/>
    <cellStyle name="Normal 2 2 3" xfId="779"/>
    <cellStyle name="Normal 2 2 3 2" xfId="780"/>
    <cellStyle name="Normal 2 2 4" xfId="781"/>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6" xfId="1405"/>
    <cellStyle name="Normal 20" xfId="783"/>
    <cellStyle name="Normal 20 2" xfId="1136"/>
    <cellStyle name="Normal 20 3" xfId="1519"/>
    <cellStyle name="Normal 21" xfId="784"/>
    <cellStyle name="Normal 21 2" xfId="1137"/>
    <cellStyle name="Normal 22" xfId="785"/>
    <cellStyle name="Normal 22 2" xfId="1138"/>
    <cellStyle name="Normal 23" xfId="786"/>
    <cellStyle name="Normal 23 2" xfId="1139"/>
    <cellStyle name="Normal 24" xfId="787"/>
    <cellStyle name="Normal 24 2" xfId="1140"/>
    <cellStyle name="Normal 25" xfId="788"/>
    <cellStyle name="Normal 25 2" xfId="1141"/>
    <cellStyle name="Normal 26" xfId="789"/>
    <cellStyle name="Normal 26 2" xfId="1142"/>
    <cellStyle name="Normal 27" xfId="1143"/>
    <cellStyle name="Normal 28" xfId="1144"/>
    <cellStyle name="Normal 28 2" xfId="1145"/>
    <cellStyle name="Normal 29" xfId="1146"/>
    <cellStyle name="Normal 29 2" xfId="1147"/>
    <cellStyle name="Normal 3" xfId="790"/>
    <cellStyle name="Normal 3 2" xfId="791"/>
    <cellStyle name="Normal 3 2 2" xfId="792"/>
    <cellStyle name="Normal 3 2 2 2" xfId="1409"/>
    <cellStyle name="Normal 3 2 3" xfId="1172"/>
    <cellStyle name="Normal 3 3" xfId="793"/>
    <cellStyle name="Normal 3 3 2" xfId="794"/>
    <cellStyle name="Normal 3 3 3" xfId="795"/>
    <cellStyle name="Normal 3 3 4" xfId="796"/>
    <cellStyle name="Normal 3 3 5" xfId="797"/>
    <cellStyle name="Normal 3 3 6" xfId="1410"/>
    <cellStyle name="Normal 3 4" xfId="1408"/>
    <cellStyle name="Normal 3_Attach O, GG, Support -New Method 2-14-11" xfId="1148"/>
    <cellStyle name="Normal 30" xfId="1185"/>
    <cellStyle name="Normal 35" xfId="798"/>
    <cellStyle name="Normal 35 2" xfId="1532"/>
    <cellStyle name="Normal 4" xfId="799"/>
    <cellStyle name="Normal 4 10" xfId="800"/>
    <cellStyle name="Normal 4 10 2" xfId="801"/>
    <cellStyle name="Normal 4 10 3" xfId="802"/>
    <cellStyle name="Normal 4 11" xfId="803"/>
    <cellStyle name="Normal 4 11 2" xfId="804"/>
    <cellStyle name="Normal 4 12" xfId="805"/>
    <cellStyle name="Normal 4 12 2" xfId="806"/>
    <cellStyle name="Normal 4 13" xfId="807"/>
    <cellStyle name="Normal 4 13 2" xfId="808"/>
    <cellStyle name="Normal 4 14" xfId="809"/>
    <cellStyle name="Normal 4 2" xfId="810"/>
    <cellStyle name="Normal 4 2 2" xfId="811"/>
    <cellStyle name="Normal 4 2 2 2" xfId="1492"/>
    <cellStyle name="Normal 4 2 3" xfId="1411"/>
    <cellStyle name="Normal 4 3" xfId="812"/>
    <cellStyle name="Normal 4 3 2" xfId="813"/>
    <cellStyle name="Normal 4 3 2 2" xfId="814"/>
    <cellStyle name="Normal 4 3 2 3" xfId="815"/>
    <cellStyle name="Normal 4 3 3" xfId="816"/>
    <cellStyle name="Normal 4 3 3 2" xfId="817"/>
    <cellStyle name="Normal 4 3 3 2 2" xfId="818"/>
    <cellStyle name="Normal 4 3 3 2 3" xfId="819"/>
    <cellStyle name="Normal 4 3 3 2 4" xfId="820"/>
    <cellStyle name="Normal 4 3 3 2 5" xfId="821"/>
    <cellStyle name="Normal 4 3 3 3" xfId="822"/>
    <cellStyle name="Normal 4 3 4" xfId="823"/>
    <cellStyle name="Normal 4 3 5" xfId="824"/>
    <cellStyle name="Normal 4 3 5 2" xfId="825"/>
    <cellStyle name="Normal 4 3 5 3" xfId="826"/>
    <cellStyle name="Normal 4 3 5 4" xfId="827"/>
    <cellStyle name="Normal 4 3 5 5" xfId="828"/>
    <cellStyle name="Normal 4 3 6" xfId="829"/>
    <cellStyle name="Normal 4 3 7" xfId="1412"/>
    <cellStyle name="Normal 4 4" xfId="830"/>
    <cellStyle name="Normal 4 4 2" xfId="831"/>
    <cellStyle name="Normal 4 4 3" xfId="832"/>
    <cellStyle name="Normal 4 4 4" xfId="833"/>
    <cellStyle name="Normal 4 4 4 2" xfId="834"/>
    <cellStyle name="Normal 4 4 4 3" xfId="835"/>
    <cellStyle name="Normal 4 4 4 4" xfId="836"/>
    <cellStyle name="Normal 4 4 4 5" xfId="837"/>
    <cellStyle name="Normal 4 4 5" xfId="838"/>
    <cellStyle name="Normal 4 4 6" xfId="1491"/>
    <cellStyle name="Normal 4 5" xfId="839"/>
    <cellStyle name="Normal 4 5 2" xfId="840"/>
    <cellStyle name="Normal 4 5 2 2" xfId="841"/>
    <cellStyle name="Normal 4 5 2 2 2" xfId="842"/>
    <cellStyle name="Normal 4 5 2 2 3" xfId="843"/>
    <cellStyle name="Normal 4 5 2 2 4" xfId="844"/>
    <cellStyle name="Normal 4 5 2 2 5" xfId="845"/>
    <cellStyle name="Normal 4 5 3" xfId="846"/>
    <cellStyle name="Normal 4 6" xfId="847"/>
    <cellStyle name="Normal 4 6 2" xfId="1149"/>
    <cellStyle name="Normal 4 7" xfId="848"/>
    <cellStyle name="Normal 4 7 2" xfId="1150"/>
    <cellStyle name="Normal 4 8" xfId="849"/>
    <cellStyle name="Normal 4 9" xfId="850"/>
    <cellStyle name="Normal 4_PBOP Exhibit 1" xfId="851"/>
    <cellStyle name="Normal 5" xfId="852"/>
    <cellStyle name="Normal 5 2" xfId="853"/>
    <cellStyle name="Normal 5 2 2" xfId="854"/>
    <cellStyle name="Normal 5 2 2 2" xfId="855"/>
    <cellStyle name="Normal 5 2 2 3" xfId="1415"/>
    <cellStyle name="Normal 5 2 3" xfId="856"/>
    <cellStyle name="Normal 5 2 4" xfId="857"/>
    <cellStyle name="Normal 5 2 5" xfId="858"/>
    <cellStyle name="Normal 5 2 6" xfId="859"/>
    <cellStyle name="Normal 5 2 7" xfId="1414"/>
    <cellStyle name="Normal 5 3" xfId="860"/>
    <cellStyle name="Normal 5 3 2" xfId="1416"/>
    <cellStyle name="Normal 5 4" xfId="861"/>
    <cellStyle name="Normal 5 4 2" xfId="1493"/>
    <cellStyle name="Normal 5 5" xfId="1413"/>
    <cellStyle name="Normal 6" xfId="862"/>
    <cellStyle name="Normal 6 2" xfId="863"/>
    <cellStyle name="Normal 6 2 2" xfId="864"/>
    <cellStyle name="Normal 6 2 3" xfId="865"/>
    <cellStyle name="Normal 6 3" xfId="866"/>
    <cellStyle name="Normal 6 3 2" xfId="1151"/>
    <cellStyle name="Normal 6 4" xfId="1152"/>
    <cellStyle name="Normal 6 4 2" xfId="1153"/>
    <cellStyle name="Normal 6 5" xfId="1166"/>
    <cellStyle name="Normal 6 6" xfId="1417"/>
    <cellStyle name="Normal 6 7" xfId="1535"/>
    <cellStyle name="Normal 7" xfId="867"/>
    <cellStyle name="Normal 7 2" xfId="868"/>
    <cellStyle name="Normal 7 3" xfId="869"/>
    <cellStyle name="Normal 7 4" xfId="1167"/>
    <cellStyle name="Normal 7 5" xfId="1418"/>
    <cellStyle name="Normal 8" xfId="870"/>
    <cellStyle name="Normal 8 2" xfId="871"/>
    <cellStyle name="Normal 8 2 2" xfId="872"/>
    <cellStyle name="Normal 8 2 3" xfId="1210"/>
    <cellStyle name="Normal 8 3" xfId="1168"/>
    <cellStyle name="Normal 8 4" xfId="1419"/>
    <cellStyle name="Normal 9" xfId="873"/>
    <cellStyle name="Normal 9 2" xfId="874"/>
    <cellStyle name="Normal 9 2 2" xfId="875"/>
    <cellStyle name="Normal 9 3" xfId="1169"/>
    <cellStyle name="Normal 9 4" xfId="142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4" xfId="889"/>
    <cellStyle name="Note 2 2 5" xfId="1422"/>
    <cellStyle name="Note 2 3" xfId="890"/>
    <cellStyle name="Note 2 4" xfId="891"/>
    <cellStyle name="Note 2 5" xfId="892"/>
    <cellStyle name="Note 2 6" xfId="1421"/>
    <cellStyle name="Note 3" xfId="1423"/>
    <cellStyle name="Note 3 2" xfId="1424"/>
    <cellStyle name="Note 4" xfId="1425"/>
    <cellStyle name="Note 5" xfId="1426"/>
    <cellStyle name="Note 6" xfId="1494"/>
    <cellStyle name="Note 7" xfId="1186"/>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3" xfId="1534"/>
    <cellStyle name="Percent 11" xfId="901"/>
    <cellStyle name="Percent 11 2" xfId="1205"/>
    <cellStyle name="Percent 12" xfId="902"/>
    <cellStyle name="Percent 12 2" xfId="903"/>
    <cellStyle name="Percent 12 3" xfId="904"/>
    <cellStyle name="Percent 13" xfId="905"/>
    <cellStyle name="Percent 13 2" xfId="906"/>
    <cellStyle name="Percent 14" xfId="907"/>
    <cellStyle name="Percent 14 2" xfId="908"/>
    <cellStyle name="Percent 15" xfId="909"/>
    <cellStyle name="Percent 15 2" xfId="910"/>
    <cellStyle name="Percent 16" xfId="911"/>
    <cellStyle name="Percent 17" xfId="1200"/>
    <cellStyle name="Percent 2" xfId="912"/>
    <cellStyle name="Percent 2 2" xfId="913"/>
    <cellStyle name="Percent 2 2 2" xfId="914"/>
    <cellStyle name="Percent 2 2 3" xfId="1429"/>
    <cellStyle name="Percent 2 3" xfId="915"/>
    <cellStyle name="Percent 2 4" xfId="1180"/>
    <cellStyle name="Percent 3" xfId="916"/>
    <cellStyle name="Percent 3 10" xfId="917"/>
    <cellStyle name="Percent 3 10 2" xfId="918"/>
    <cellStyle name="Percent 3 10 3" xfId="919"/>
    <cellStyle name="Percent 3 11" xfId="920"/>
    <cellStyle name="Percent 3 11 2" xfId="921"/>
    <cellStyle name="Percent 3 12" xfId="922"/>
    <cellStyle name="Percent 3 12 2" xfId="923"/>
    <cellStyle name="Percent 3 13" xfId="924"/>
    <cellStyle name="Percent 3 13 2" xfId="925"/>
    <cellStyle name="Percent 3 14" xfId="926"/>
    <cellStyle name="Percent 3 2" xfId="927"/>
    <cellStyle name="Percent 3 2 2" xfId="928"/>
    <cellStyle name="Percent 3 2 3" xfId="1430"/>
    <cellStyle name="Percent 3 3" xfId="929"/>
    <cellStyle name="Percent 3 3 2" xfId="930"/>
    <cellStyle name="Percent 3 3 2 2" xfId="931"/>
    <cellStyle name="Percent 3 3 2 3" xfId="932"/>
    <cellStyle name="Percent 3 3 3" xfId="933"/>
    <cellStyle name="Percent 3 3 3 2" xfId="934"/>
    <cellStyle name="Percent 3 3 3 2 2" xfId="935"/>
    <cellStyle name="Percent 3 3 3 2 3" xfId="936"/>
    <cellStyle name="Percent 3 3 3 2 4" xfId="937"/>
    <cellStyle name="Percent 3 3 3 2 5" xfId="938"/>
    <cellStyle name="Percent 3 3 3 3" xfId="939"/>
    <cellStyle name="Percent 3 3 4" xfId="940"/>
    <cellStyle name="Percent 3 3 5" xfId="941"/>
    <cellStyle name="Percent 3 3 5 2" xfId="942"/>
    <cellStyle name="Percent 3 3 5 3" xfId="943"/>
    <cellStyle name="Percent 3 3 5 4" xfId="944"/>
    <cellStyle name="Percent 3 3 5 5" xfId="945"/>
    <cellStyle name="Percent 3 3 6" xfId="946"/>
    <cellStyle name="Percent 3 3 7" xfId="1496"/>
    <cellStyle name="Percent 3 4" xfId="947"/>
    <cellStyle name="Percent 3 4 2" xfId="948"/>
    <cellStyle name="Percent 3 4 3" xfId="949"/>
    <cellStyle name="Percent 3 4 4" xfId="950"/>
    <cellStyle name="Percent 3 4 4 2" xfId="951"/>
    <cellStyle name="Percent 3 4 4 3" xfId="952"/>
    <cellStyle name="Percent 3 4 4 4" xfId="953"/>
    <cellStyle name="Percent 3 4 4 5" xfId="954"/>
    <cellStyle name="Percent 3 4 5" xfId="955"/>
    <cellStyle name="Percent 3 4 6" xfId="1526"/>
    <cellStyle name="Percent 3 5" xfId="956"/>
    <cellStyle name="Percent 3 5 2" xfId="957"/>
    <cellStyle name="Percent 3 6" xfId="958"/>
    <cellStyle name="Percent 3 6 2" xfId="1154"/>
    <cellStyle name="Percent 3 7" xfId="959"/>
    <cellStyle name="Percent 3 8" xfId="960"/>
    <cellStyle name="Percent 3 9" xfId="961"/>
    <cellStyle name="Percent 4" xfId="962"/>
    <cellStyle name="Percent 4 2" xfId="963"/>
    <cellStyle name="Percent 4 2 2" xfId="964"/>
    <cellStyle name="Percent 4 2 3" xfId="965"/>
    <cellStyle name="Percent 4 2 4" xfId="1432"/>
    <cellStyle name="Percent 4 3" xfId="966"/>
    <cellStyle name="Percent 4 3 2" xfId="967"/>
    <cellStyle name="Percent 4 3 2 2" xfId="968"/>
    <cellStyle name="Percent 4 3 2 3" xfId="969"/>
    <cellStyle name="Percent 4 3 2 4" xfId="970"/>
    <cellStyle name="Percent 4 3 2 5" xfId="971"/>
    <cellStyle name="Percent 4 3 3" xfId="972"/>
    <cellStyle name="Percent 4 4" xfId="973"/>
    <cellStyle name="Percent 4 5" xfId="974"/>
    <cellStyle name="Percent 4 5 2" xfId="975"/>
    <cellStyle name="Percent 4 5 3" xfId="976"/>
    <cellStyle name="Percent 4 5 4" xfId="977"/>
    <cellStyle name="Percent 4 5 5" xfId="978"/>
    <cellStyle name="Percent 4 6" xfId="979"/>
    <cellStyle name="Percent 4 6 2" xfId="980"/>
    <cellStyle name="Percent 4 6 3" xfId="981"/>
    <cellStyle name="Percent 4 7" xfId="1170"/>
    <cellStyle name="Percent 4 8" xfId="1431"/>
    <cellStyle name="Percent 5" xfId="982"/>
    <cellStyle name="Percent 5 2" xfId="983"/>
    <cellStyle name="Percent 5 2 2" xfId="1434"/>
    <cellStyle name="Percent 5 3" xfId="984"/>
    <cellStyle name="Percent 5 4" xfId="985"/>
    <cellStyle name="Percent 5 4 2" xfId="986"/>
    <cellStyle name="Percent 5 4 3" xfId="987"/>
    <cellStyle name="Percent 5 4 4" xfId="988"/>
    <cellStyle name="Percent 5 4 5" xfId="989"/>
    <cellStyle name="Percent 5 5" xfId="990"/>
    <cellStyle name="Percent 5 6" xfId="1433"/>
    <cellStyle name="Percent 6" xfId="991"/>
    <cellStyle name="Percent 6 2" xfId="992"/>
    <cellStyle name="Percent 6 3" xfId="993"/>
    <cellStyle name="Percent 6 4" xfId="994"/>
    <cellStyle name="Percent 6 4 2" xfId="995"/>
    <cellStyle name="Percent 6 4 3" xfId="996"/>
    <cellStyle name="Percent 6 5" xfId="1171"/>
    <cellStyle name="Percent 6 6" xfId="1435"/>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4" xfId="1016"/>
    <cellStyle name="Percent 7 5" xfId="1017"/>
    <cellStyle name="Percent 7 6" xfId="1018"/>
    <cellStyle name="Percent 7 7" xfId="1436"/>
    <cellStyle name="Percent 8" xfId="1019"/>
    <cellStyle name="Percent 8 2" xfId="1439"/>
    <cellStyle name="Percent 8 3" xfId="1438"/>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3" xfId="1499"/>
    <cellStyle name="R02H" xfId="1076"/>
    <cellStyle name="R02L" xfId="1077"/>
    <cellStyle name="R03A" xfId="1078"/>
    <cellStyle name="R03B" xfId="1079"/>
    <cellStyle name="R03B 2" xfId="1080"/>
    <cellStyle name="R03B 3" xfId="1500"/>
    <cellStyle name="R03H" xfId="1081"/>
    <cellStyle name="R03L" xfId="1082"/>
    <cellStyle name="R04A" xfId="1083"/>
    <cellStyle name="R04B" xfId="1084"/>
    <cellStyle name="R04B 2" xfId="1085"/>
    <cellStyle name="R04B 3" xfId="1501"/>
    <cellStyle name="R04H" xfId="1086"/>
    <cellStyle name="R04L" xfId="1087"/>
    <cellStyle name="R05A" xfId="1088"/>
    <cellStyle name="R05B" xfId="1089"/>
    <cellStyle name="R05B 2" xfId="1090"/>
    <cellStyle name="R05B 3" xfId="1502"/>
    <cellStyle name="R05H" xfId="1091"/>
    <cellStyle name="R05L" xfId="1092"/>
    <cellStyle name="R05L 2" xfId="1093"/>
    <cellStyle name="R05L 3" xfId="1503"/>
    <cellStyle name="R06A" xfId="1094"/>
    <cellStyle name="R06B" xfId="1095"/>
    <cellStyle name="R06B 2" xfId="1096"/>
    <cellStyle name="R06B 3" xfId="1504"/>
    <cellStyle name="R06H" xfId="1097"/>
    <cellStyle name="R06L" xfId="1098"/>
    <cellStyle name="R07A" xfId="1099"/>
    <cellStyle name="R07B" xfId="1100"/>
    <cellStyle name="R07B 2" xfId="110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0000FF"/>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37</xdr:row>
      <xdr:rowOff>0</xdr:rowOff>
    </xdr:from>
    <xdr:to>
      <xdr:col>3</xdr:col>
      <xdr:colOff>2714625</xdr:colOff>
      <xdr:row>38</xdr:row>
      <xdr:rowOff>9525</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89"/>
  <sheetViews>
    <sheetView topLeftCell="A7" zoomScale="81" zoomScaleNormal="81" zoomScaleSheetLayoutView="88" zoomScalePageLayoutView="70" workbookViewId="0">
      <selection activeCell="M23" sqref="M23"/>
    </sheetView>
  </sheetViews>
  <sheetFormatPr defaultColWidth="11.42578125" defaultRowHeight="15"/>
  <cols>
    <col min="1" max="1" width="4.140625" style="7" customWidth="1"/>
    <col min="2" max="2" width="5.85546875" style="2" bestFit="1" customWidth="1"/>
    <col min="3" max="3" width="2" style="7" customWidth="1"/>
    <col min="4" max="4" width="47.7109375" style="7" customWidth="1"/>
    <col min="5" max="5" width="25.7109375" style="7" customWidth="1"/>
    <col min="6" max="6" width="12.5703125" style="7" customWidth="1"/>
    <col min="7" max="7" width="26.5703125" style="7" customWidth="1"/>
    <col min="8" max="8" width="2.7109375" style="7" customWidth="1"/>
    <col min="9" max="9" width="19.42578125" style="7" bestFit="1" customWidth="1"/>
    <col min="10" max="10" width="2.7109375" style="7" customWidth="1"/>
    <col min="11" max="11" width="18" style="7" bestFit="1" customWidth="1"/>
    <col min="12" max="12" width="2.5703125" style="7" customWidth="1"/>
    <col min="13" max="13" width="21.7109375" style="7" customWidth="1"/>
    <col min="14" max="14" width="11.28515625" style="7" customWidth="1"/>
    <col min="15" max="15" width="17.28515625" style="7" customWidth="1"/>
    <col min="16" max="16" width="13.7109375" style="7" customWidth="1"/>
    <col min="17" max="17" width="2.85546875" style="7" customWidth="1"/>
    <col min="18" max="18" width="15" style="7" bestFit="1" customWidth="1"/>
    <col min="19" max="19" width="3.85546875" style="7" customWidth="1"/>
    <col min="20" max="20" width="16" style="7" bestFit="1" customWidth="1"/>
    <col min="21" max="16384" width="11.42578125" style="7"/>
  </cols>
  <sheetData>
    <row r="1" spans="1:23">
      <c r="A1" s="285"/>
    </row>
    <row r="2" spans="1:23">
      <c r="A2" s="173"/>
      <c r="B2" s="173"/>
      <c r="C2" s="173"/>
      <c r="D2" s="173"/>
      <c r="E2" s="173"/>
      <c r="F2" s="173"/>
      <c r="G2" s="173"/>
      <c r="H2" s="173"/>
      <c r="J2" s="173"/>
      <c r="K2" s="173"/>
      <c r="L2" s="173"/>
      <c r="M2" s="66"/>
      <c r="N2" s="174"/>
    </row>
    <row r="3" spans="1:23">
      <c r="B3" s="14"/>
      <c r="C3" s="3"/>
      <c r="D3" s="3"/>
      <c r="E3" s="3"/>
      <c r="F3" s="3"/>
      <c r="G3" s="3"/>
      <c r="H3" s="3"/>
      <c r="J3" s="3"/>
      <c r="K3" s="3"/>
      <c r="L3" s="3"/>
      <c r="M3" s="66"/>
    </row>
    <row r="4" spans="1:23">
      <c r="B4" s="14"/>
      <c r="C4" s="3"/>
      <c r="D4" s="6"/>
      <c r="E4" s="6"/>
      <c r="F4" s="57" t="s">
        <v>878</v>
      </c>
      <c r="G4" s="176"/>
      <c r="H4" s="176"/>
      <c r="K4" s="6"/>
      <c r="L4" s="4"/>
    </row>
    <row r="5" spans="1:23">
      <c r="B5" s="14"/>
      <c r="C5" s="3"/>
      <c r="D5" s="6"/>
      <c r="E5" s="5"/>
      <c r="F5" s="195" t="s">
        <v>535</v>
      </c>
      <c r="G5" s="176"/>
      <c r="H5" s="176"/>
      <c r="K5" s="5"/>
      <c r="L5" s="4"/>
    </row>
    <row r="6" spans="1:23">
      <c r="B6" s="14"/>
      <c r="C6" s="3"/>
      <c r="D6" s="4" t="s">
        <v>536</v>
      </c>
      <c r="E6" s="4"/>
      <c r="F6" s="175" t="str">
        <f>"For the "&amp;'PSO TCOS'!$N$2&amp;" Rate Year "</f>
        <v xml:space="preserve">For the 2018 Rate Year </v>
      </c>
      <c r="G6" s="176"/>
      <c r="H6" s="176"/>
      <c r="K6" s="4"/>
      <c r="L6" s="4"/>
      <c r="M6" s="4"/>
    </row>
    <row r="7" spans="1:23">
      <c r="B7" s="13"/>
      <c r="C7" s="10"/>
      <c r="D7" s="4"/>
      <c r="H7" s="100"/>
      <c r="J7" s="100"/>
      <c r="K7" s="100"/>
      <c r="L7" s="100"/>
      <c r="M7" s="4"/>
    </row>
    <row r="8" spans="1:23" ht="15.75">
      <c r="B8" s="13"/>
      <c r="C8" s="10"/>
      <c r="D8" s="4"/>
      <c r="F8" s="98" t="s">
        <v>1083</v>
      </c>
      <c r="G8" s="56"/>
      <c r="H8" s="4"/>
      <c r="J8" s="4"/>
      <c r="K8" s="4"/>
      <c r="L8" s="4"/>
      <c r="O8" s="146"/>
      <c r="P8" s="146"/>
      <c r="Q8" s="146"/>
      <c r="R8" s="146"/>
      <c r="S8" s="146"/>
      <c r="T8" s="146"/>
      <c r="U8" s="146"/>
      <c r="V8" s="146"/>
      <c r="W8" s="146"/>
    </row>
    <row r="9" spans="1:23" ht="15.75">
      <c r="B9" s="13"/>
      <c r="C9" s="10"/>
      <c r="D9" s="4"/>
      <c r="E9" s="4"/>
      <c r="F9" s="100"/>
      <c r="G9" s="56"/>
      <c r="H9" s="4"/>
      <c r="I9" s="177" t="s">
        <v>120</v>
      </c>
      <c r="J9" s="4"/>
      <c r="K9" s="101" t="s">
        <v>537</v>
      </c>
      <c r="L9" s="101"/>
      <c r="M9" s="178" t="s">
        <v>538</v>
      </c>
      <c r="O9" s="146"/>
      <c r="P9" s="146"/>
      <c r="Q9" s="146"/>
      <c r="R9" s="146"/>
      <c r="S9" s="146"/>
      <c r="T9" s="146"/>
      <c r="U9" s="146"/>
      <c r="V9" s="146"/>
      <c r="W9" s="146"/>
    </row>
    <row r="10" spans="1:23" ht="15.75">
      <c r="B10" s="13" t="s">
        <v>310</v>
      </c>
      <c r="C10" s="10"/>
      <c r="D10" s="4"/>
      <c r="E10" s="4"/>
      <c r="F10" s="101"/>
      <c r="G10" s="56"/>
      <c r="H10" s="4"/>
      <c r="I10" s="177" t="s">
        <v>32</v>
      </c>
      <c r="J10" s="4"/>
      <c r="K10" s="101" t="s">
        <v>32</v>
      </c>
      <c r="L10" s="101"/>
      <c r="M10" s="101" t="s">
        <v>32</v>
      </c>
      <c r="O10" s="146"/>
      <c r="P10" s="146"/>
      <c r="Q10" s="146"/>
      <c r="R10" s="146"/>
      <c r="S10" s="146"/>
      <c r="T10" s="146"/>
      <c r="U10" s="146"/>
      <c r="V10" s="146"/>
      <c r="W10" s="146"/>
    </row>
    <row r="11" spans="1:23" ht="16.5" thickBot="1">
      <c r="B11" s="102" t="s">
        <v>259</v>
      </c>
      <c r="C11" s="9"/>
      <c r="D11" s="4"/>
      <c r="E11" s="9"/>
      <c r="F11" s="4"/>
      <c r="G11" s="4"/>
      <c r="H11" s="4"/>
      <c r="I11" s="177" t="s">
        <v>123</v>
      </c>
      <c r="J11" s="4"/>
      <c r="K11" s="177" t="s">
        <v>123</v>
      </c>
      <c r="L11" s="101"/>
      <c r="M11" s="177" t="s">
        <v>123</v>
      </c>
      <c r="O11" s="146"/>
      <c r="P11" s="146"/>
      <c r="Q11" s="146"/>
      <c r="R11" s="146"/>
      <c r="S11" s="146"/>
      <c r="T11" s="146"/>
      <c r="U11" s="146"/>
      <c r="V11" s="146"/>
      <c r="W11" s="146"/>
    </row>
    <row r="12" spans="1:23">
      <c r="B12" s="67"/>
      <c r="C12" s="9"/>
      <c r="D12" s="4"/>
      <c r="E12" s="9"/>
      <c r="F12" s="4"/>
      <c r="G12" s="4"/>
      <c r="H12" s="4"/>
      <c r="J12" s="4"/>
      <c r="L12" s="4"/>
      <c r="O12" s="146"/>
      <c r="P12" s="146"/>
      <c r="Q12" s="146"/>
      <c r="R12" s="146"/>
      <c r="S12" s="146"/>
      <c r="T12" s="146"/>
      <c r="U12" s="146"/>
      <c r="V12" s="146"/>
      <c r="W12" s="146"/>
    </row>
    <row r="13" spans="1:23" ht="15.75">
      <c r="A13" s="177" t="s">
        <v>124</v>
      </c>
      <c r="B13" s="276" t="s">
        <v>539</v>
      </c>
      <c r="C13" s="9"/>
      <c r="D13" s="4"/>
      <c r="E13" s="9"/>
      <c r="F13" s="4"/>
      <c r="G13" s="4"/>
      <c r="H13" s="4"/>
      <c r="J13" s="4"/>
      <c r="K13" s="625"/>
      <c r="L13" s="4"/>
      <c r="M13" s="625"/>
      <c r="O13" s="146"/>
      <c r="P13" s="146"/>
      <c r="Q13" s="146"/>
      <c r="R13" s="146"/>
      <c r="S13" s="146"/>
      <c r="T13" s="146"/>
      <c r="U13" s="146"/>
      <c r="V13" s="146"/>
      <c r="W13" s="146"/>
    </row>
    <row r="14" spans="1:23" ht="15.75">
      <c r="A14" s="177"/>
      <c r="B14" s="67">
        <v>1</v>
      </c>
      <c r="C14" s="9"/>
      <c r="D14" s="181" t="s">
        <v>540</v>
      </c>
      <c r="E14" s="9"/>
      <c r="F14" s="4"/>
      <c r="G14" s="10" t="str">
        <f>"(TCOS Line "&amp;'PSO TCOS'!B12&amp;" )"</f>
        <v>(TCOS Line 1 )</v>
      </c>
      <c r="H14" s="4"/>
      <c r="I14" s="654">
        <f>+K14+M14</f>
        <v>250625455.6810858</v>
      </c>
      <c r="J14" s="655"/>
      <c r="K14" s="656">
        <f>+'PSO TCOS'!L12</f>
        <v>83018102.281065762</v>
      </c>
      <c r="L14" s="655"/>
      <c r="M14" s="656">
        <f>+'SWEPCO TCOS'!L12</f>
        <v>167607353.40002003</v>
      </c>
      <c r="N14" s="180"/>
      <c r="O14" s="146"/>
      <c r="P14" s="624"/>
      <c r="Q14" s="624"/>
      <c r="R14" s="624"/>
      <c r="S14" s="624"/>
      <c r="T14" s="624"/>
      <c r="U14" s="146"/>
      <c r="V14" s="146"/>
      <c r="W14" s="146"/>
    </row>
    <row r="15" spans="1:23" ht="15.75">
      <c r="A15" s="177"/>
      <c r="B15" s="67"/>
      <c r="C15" s="9"/>
      <c r="D15" s="181"/>
      <c r="E15" s="9"/>
      <c r="F15" s="4"/>
      <c r="G15" s="4"/>
      <c r="H15" s="4"/>
      <c r="I15" s="654"/>
      <c r="J15" s="655"/>
      <c r="K15" s="656"/>
      <c r="L15" s="655"/>
      <c r="M15" s="656"/>
      <c r="O15" s="146"/>
      <c r="P15" s="624"/>
      <c r="Q15" s="624"/>
      <c r="R15" s="624"/>
      <c r="S15" s="624"/>
      <c r="T15" s="624"/>
      <c r="U15" s="146"/>
      <c r="V15" s="146"/>
      <c r="W15" s="146"/>
    </row>
    <row r="16" spans="1:23" ht="15.75">
      <c r="A16" s="177"/>
      <c r="B16" s="67">
        <f>+B14+1</f>
        <v>2</v>
      </c>
      <c r="C16" s="9"/>
      <c r="D16" s="4" t="s">
        <v>542</v>
      </c>
      <c r="E16" s="9"/>
      <c r="F16" s="4"/>
      <c r="G16" s="10" t="str">
        <f>"(TCOS Line "&amp;'PSO TCOS'!B14&amp;" )"</f>
        <v>(TCOS Line 2 )</v>
      </c>
      <c r="H16" s="4"/>
      <c r="I16" s="654">
        <f>(K16+M16)</f>
        <v>19740542.420000009</v>
      </c>
      <c r="J16" s="655"/>
      <c r="K16" s="656">
        <f>+'PSO TCOS'!L14</f>
        <v>7362221.3800000036</v>
      </c>
      <c r="L16" s="657"/>
      <c r="M16" s="656">
        <f>+'SWEPCO TCOS'!L14</f>
        <v>12378321.040000007</v>
      </c>
      <c r="O16" s="146"/>
      <c r="P16" s="624"/>
      <c r="Q16" s="624"/>
      <c r="R16" s="624"/>
      <c r="S16" s="624"/>
      <c r="T16" s="624"/>
      <c r="U16" s="146"/>
      <c r="V16" s="146"/>
      <c r="W16" s="146"/>
    </row>
    <row r="17" spans="1:23" ht="15.75">
      <c r="A17" s="177"/>
      <c r="B17" s="276"/>
      <c r="C17" s="9"/>
      <c r="D17" s="4"/>
      <c r="E17" s="9"/>
      <c r="F17" s="4"/>
      <c r="G17" s="4"/>
      <c r="H17" s="4"/>
      <c r="I17" s="658"/>
      <c r="J17" s="659"/>
      <c r="K17" s="658"/>
      <c r="L17" s="659"/>
      <c r="M17" s="658"/>
      <c r="O17" s="146"/>
      <c r="P17" s="624"/>
      <c r="Q17" s="624"/>
      <c r="R17" s="624"/>
      <c r="S17" s="624"/>
      <c r="T17" s="624"/>
      <c r="U17" s="146"/>
      <c r="V17" s="146"/>
      <c r="W17" s="146"/>
    </row>
    <row r="18" spans="1:23" ht="15.75">
      <c r="A18" s="177"/>
      <c r="B18" s="67">
        <f>+B16+1</f>
        <v>3</v>
      </c>
      <c r="C18" s="9"/>
      <c r="D18" s="181" t="s">
        <v>541</v>
      </c>
      <c r="E18" s="9"/>
      <c r="F18" s="4"/>
      <c r="G18" s="10" t="str">
        <f>"(TCOS Line "&amp;'PSO TCOS'!B16&amp;" )"</f>
        <v>(TCOS Line 3 )</v>
      </c>
      <c r="H18" s="4"/>
      <c r="I18" s="660">
        <f>+K18+M18</f>
        <v>0</v>
      </c>
      <c r="J18" s="659"/>
      <c r="K18" s="660">
        <f>+'PSO TCOS'!L16</f>
        <v>0</v>
      </c>
      <c r="L18" s="659"/>
      <c r="M18" s="660">
        <f>+'SWEPCO TCOS'!L16</f>
        <v>0</v>
      </c>
      <c r="O18" s="146"/>
      <c r="P18" s="624"/>
      <c r="Q18" s="624"/>
      <c r="R18" s="624"/>
      <c r="S18" s="624"/>
      <c r="T18" s="624"/>
      <c r="U18" s="146"/>
      <c r="V18" s="146"/>
      <c r="W18" s="146"/>
    </row>
    <row r="19" spans="1:23" ht="15.75">
      <c r="A19" s="177"/>
      <c r="B19" s="67"/>
      <c r="C19" s="9"/>
      <c r="D19" s="181"/>
      <c r="E19" s="9"/>
      <c r="F19" s="4"/>
      <c r="G19" s="4"/>
      <c r="H19" s="4"/>
      <c r="I19" s="654"/>
      <c r="J19" s="655"/>
      <c r="K19" s="656"/>
      <c r="L19" s="655"/>
      <c r="M19" s="656"/>
      <c r="O19" s="146"/>
      <c r="P19" s="624"/>
      <c r="Q19" s="624"/>
      <c r="R19" s="624"/>
      <c r="S19" s="624"/>
      <c r="T19" s="624"/>
      <c r="U19" s="146"/>
      <c r="V19" s="146"/>
      <c r="W19" s="146"/>
    </row>
    <row r="20" spans="1:23">
      <c r="B20" s="13">
        <f>+B18+1</f>
        <v>4</v>
      </c>
      <c r="C20" s="10"/>
      <c r="D20" s="181" t="s">
        <v>543</v>
      </c>
      <c r="F20" s="65"/>
      <c r="G20" s="10" t="str">
        <f>"(TCOS Line "&amp;'PSO TCOS'!B18&amp;" )"</f>
        <v>(TCOS Line 4 )</v>
      </c>
      <c r="H20" s="3"/>
      <c r="I20" s="661">
        <f>+K20+M20</f>
        <v>230884913.26108581</v>
      </c>
      <c r="J20" s="658"/>
      <c r="K20" s="661">
        <f>+K14+K18-K16</f>
        <v>75655880.901065752</v>
      </c>
      <c r="L20" s="662"/>
      <c r="M20" s="661">
        <f>+M14+M18-M16</f>
        <v>155229032.36002004</v>
      </c>
      <c r="O20" s="146"/>
      <c r="P20" s="624"/>
      <c r="Q20" s="624"/>
      <c r="R20" s="624"/>
      <c r="S20" s="624"/>
      <c r="T20" s="624"/>
      <c r="U20" s="146"/>
      <c r="V20" s="146"/>
      <c r="W20" s="146"/>
    </row>
    <row r="21" spans="1:23">
      <c r="B21" s="13"/>
      <c r="C21" s="10"/>
      <c r="D21" s="181"/>
      <c r="E21" s="4"/>
      <c r="F21" s="65"/>
      <c r="G21" s="3"/>
      <c r="H21" s="3"/>
      <c r="I21" s="662"/>
      <c r="J21" s="662"/>
      <c r="K21" s="663">
        <f>K20/I20</f>
        <v>0.32767788866097847</v>
      </c>
      <c r="L21" s="662"/>
      <c r="M21" s="663">
        <f>1-K21</f>
        <v>0.67232211133902153</v>
      </c>
      <c r="O21" s="146"/>
      <c r="P21" s="624"/>
      <c r="Q21" s="624"/>
      <c r="R21" s="624"/>
      <c r="S21" s="624"/>
      <c r="T21" s="624"/>
      <c r="U21" s="146"/>
      <c r="V21" s="146"/>
      <c r="W21" s="146"/>
    </row>
    <row r="22" spans="1:23">
      <c r="B22" s="13">
        <f>+B20+1</f>
        <v>5</v>
      </c>
      <c r="C22" s="10"/>
      <c r="D22" s="181" t="s">
        <v>544</v>
      </c>
      <c r="E22" s="4"/>
      <c r="F22" s="65"/>
      <c r="G22" s="3"/>
      <c r="H22" s="3"/>
      <c r="I22" s="662"/>
      <c r="J22" s="662"/>
      <c r="K22" s="662"/>
      <c r="L22" s="662"/>
      <c r="M22" s="662"/>
      <c r="O22" s="146"/>
      <c r="P22" s="624"/>
      <c r="Q22" s="624"/>
      <c r="R22" s="624"/>
      <c r="S22" s="624"/>
      <c r="T22" s="624"/>
      <c r="U22" s="146"/>
      <c r="V22" s="146"/>
      <c r="W22" s="146"/>
    </row>
    <row r="23" spans="1:23">
      <c r="B23" s="13">
        <f>+B22+1</f>
        <v>6</v>
      </c>
      <c r="C23" s="10"/>
      <c r="D23" s="181" t="s">
        <v>545</v>
      </c>
      <c r="E23" s="4"/>
      <c r="F23" s="65"/>
      <c r="G23" s="10" t="str">
        <f>"(TCOS Line "&amp;'PSO TCOS'!B23&amp;" )"</f>
        <v>(TCOS Line 5 )</v>
      </c>
      <c r="H23" s="3"/>
      <c r="I23" s="654">
        <f>(K23+M23)</f>
        <v>87589547.381617188</v>
      </c>
      <c r="J23" s="662"/>
      <c r="K23" s="654">
        <f>+'PSO TCOS'!L23</f>
        <v>5985111.4543428477</v>
      </c>
      <c r="L23" s="654"/>
      <c r="M23" s="654">
        <f>+'SWEPCO TCOS'!L23</f>
        <v>81604435.927274346</v>
      </c>
      <c r="O23" s="146"/>
      <c r="P23" s="624"/>
      <c r="Q23" s="624"/>
      <c r="R23" s="624"/>
      <c r="S23" s="624"/>
      <c r="T23" s="624"/>
      <c r="U23" s="146"/>
      <c r="V23" s="146"/>
      <c r="W23" s="146"/>
    </row>
    <row r="24" spans="1:23">
      <c r="B24" s="13">
        <f>+B23+1</f>
        <v>7</v>
      </c>
      <c r="C24" s="10"/>
      <c r="D24" s="181" t="s">
        <v>546</v>
      </c>
      <c r="E24" s="4"/>
      <c r="F24" s="65"/>
      <c r="G24" s="10" t="str">
        <f>"(Worksheet F/G)"</f>
        <v>(Worksheet F/G)</v>
      </c>
      <c r="H24" s="3"/>
      <c r="I24" s="654">
        <f>+K24+M24</f>
        <v>0</v>
      </c>
      <c r="J24" s="662"/>
      <c r="K24" s="654">
        <v>0</v>
      </c>
      <c r="L24" s="654"/>
      <c r="M24" s="654">
        <v>0</v>
      </c>
      <c r="O24" s="146"/>
      <c r="P24" s="624"/>
      <c r="Q24" s="624"/>
      <c r="R24" s="624"/>
      <c r="S24" s="624"/>
      <c r="T24" s="624"/>
      <c r="U24" s="146"/>
      <c r="V24" s="146"/>
      <c r="W24" s="146"/>
    </row>
    <row r="25" spans="1:23">
      <c r="B25" s="13">
        <f>+B24+1</f>
        <v>8</v>
      </c>
      <c r="C25" s="10"/>
      <c r="D25" s="181" t="s">
        <v>547</v>
      </c>
      <c r="E25" s="4"/>
      <c r="F25" s="65"/>
      <c r="G25" s="10" t="str">
        <f>"(Worksheet F/G)"</f>
        <v>(Worksheet F/G)</v>
      </c>
      <c r="H25" s="3"/>
      <c r="I25" s="664">
        <f>+K25+M25</f>
        <v>0</v>
      </c>
      <c r="J25" s="662"/>
      <c r="K25" s="664">
        <v>0</v>
      </c>
      <c r="L25" s="654"/>
      <c r="M25" s="664">
        <v>0</v>
      </c>
      <c r="O25" s="146"/>
      <c r="P25" s="624"/>
      <c r="Q25" s="624"/>
      <c r="R25" s="624"/>
      <c r="S25" s="624"/>
      <c r="T25" s="624"/>
      <c r="U25" s="146"/>
      <c r="V25" s="146"/>
      <c r="W25" s="146"/>
    </row>
    <row r="26" spans="1:23">
      <c r="B26" s="13">
        <f>+B25+1</f>
        <v>9</v>
      </c>
      <c r="C26" s="10"/>
      <c r="D26" s="184" t="s">
        <v>548</v>
      </c>
      <c r="E26" s="4" t="s">
        <v>256</v>
      </c>
      <c r="F26" s="65"/>
      <c r="G26" s="3"/>
      <c r="H26" s="3"/>
      <c r="I26" s="654">
        <f>(I25+I24+I23)</f>
        <v>87589547.381617188</v>
      </c>
      <c r="J26" s="662"/>
      <c r="K26" s="654">
        <f>+K25+K24+K23</f>
        <v>5985111.4543428477</v>
      </c>
      <c r="L26" s="654"/>
      <c r="M26" s="654">
        <f>+M25+M24+M23</f>
        <v>81604435.927274346</v>
      </c>
      <c r="O26" s="146"/>
      <c r="P26" s="624"/>
      <c r="Q26" s="624"/>
      <c r="R26" s="624"/>
      <c r="S26" s="624"/>
      <c r="T26" s="624"/>
      <c r="U26" s="146"/>
      <c r="V26" s="146"/>
      <c r="W26" s="146"/>
    </row>
    <row r="27" spans="1:23">
      <c r="B27" s="13"/>
      <c r="C27" s="10"/>
      <c r="D27" s="181"/>
      <c r="E27" s="4"/>
      <c r="F27" s="65"/>
      <c r="G27" s="3"/>
      <c r="H27" s="3"/>
      <c r="I27" s="664"/>
      <c r="J27" s="662"/>
      <c r="K27" s="664"/>
      <c r="L27" s="654"/>
      <c r="M27" s="664"/>
      <c r="O27" s="146"/>
      <c r="P27" s="624"/>
      <c r="Q27" s="624"/>
      <c r="R27" s="624"/>
      <c r="S27" s="624"/>
      <c r="T27" s="624"/>
      <c r="U27" s="146"/>
      <c r="V27" s="146"/>
      <c r="W27" s="146"/>
    </row>
    <row r="28" spans="1:23">
      <c r="B28" s="13">
        <f>+B26+1</f>
        <v>10</v>
      </c>
      <c r="C28" s="10"/>
      <c r="D28" s="181" t="s">
        <v>549</v>
      </c>
      <c r="E28" s="4"/>
      <c r="G28" s="65" t="str">
        <f>"(Line "&amp;B20&amp;"- Line "&amp;B26&amp;")"</f>
        <v>(Line 4- Line 9)</v>
      </c>
      <c r="H28" s="3"/>
      <c r="I28" s="654">
        <f>(K28+M28)</f>
        <v>143295365.87946862</v>
      </c>
      <c r="J28" s="662"/>
      <c r="K28" s="654">
        <f>+K20-K26</f>
        <v>69670769.44672291</v>
      </c>
      <c r="L28" s="654"/>
      <c r="M28" s="654">
        <f>+M20-M26</f>
        <v>73624596.432745695</v>
      </c>
      <c r="O28" s="146"/>
      <c r="P28" s="624"/>
      <c r="Q28" s="624"/>
      <c r="R28" s="624"/>
      <c r="S28" s="624"/>
      <c r="T28" s="624"/>
      <c r="U28" s="146"/>
      <c r="V28" s="146"/>
      <c r="W28" s="146"/>
    </row>
    <row r="29" spans="1:23">
      <c r="B29" s="7"/>
      <c r="C29" s="10"/>
      <c r="E29" s="4"/>
      <c r="G29" s="3"/>
      <c r="H29" s="3"/>
      <c r="I29" s="662"/>
      <c r="J29" s="662"/>
      <c r="K29" s="662"/>
      <c r="L29" s="662"/>
      <c r="M29" s="662"/>
      <c r="O29" s="146"/>
      <c r="P29" s="624"/>
      <c r="Q29" s="624"/>
      <c r="R29" s="624"/>
      <c r="S29" s="624"/>
      <c r="T29" s="624"/>
      <c r="U29" s="146"/>
      <c r="V29" s="146"/>
      <c r="W29" s="146"/>
    </row>
    <row r="30" spans="1:23">
      <c r="B30" s="13">
        <f>+B28+1</f>
        <v>11</v>
      </c>
      <c r="C30" s="10"/>
      <c r="D30" s="181" t="s">
        <v>550</v>
      </c>
      <c r="E30" s="4"/>
      <c r="F30" s="65"/>
      <c r="G30" s="10" t="str">
        <f>"(TCOS Line "&amp;'PSO TCOS'!B35&amp;" )"</f>
        <v>(TCOS Line 13 )</v>
      </c>
      <c r="H30" s="3"/>
      <c r="I30" s="654">
        <f>+K30+M30</f>
        <v>0</v>
      </c>
      <c r="J30" s="662"/>
      <c r="K30" s="654">
        <f>+'PSO TCOS'!L35</f>
        <v>0</v>
      </c>
      <c r="L30" s="654"/>
      <c r="M30" s="654">
        <f>+'SWEPCO TCOS'!L35</f>
        <v>0</v>
      </c>
      <c r="O30" s="146"/>
      <c r="P30" s="624"/>
      <c r="Q30" s="624"/>
      <c r="R30" s="624"/>
      <c r="S30" s="624"/>
      <c r="T30" s="624"/>
      <c r="U30" s="146"/>
      <c r="V30" s="146"/>
      <c r="W30" s="146"/>
    </row>
    <row r="31" spans="1:23" ht="15.75" thickBot="1">
      <c r="B31" s="13"/>
      <c r="C31" s="10"/>
      <c r="D31" s="181"/>
      <c r="E31" s="4"/>
      <c r="F31" s="65"/>
      <c r="G31" s="3"/>
      <c r="H31" s="3"/>
      <c r="I31" s="665"/>
      <c r="J31" s="662"/>
      <c r="K31" s="665"/>
      <c r="L31" s="654"/>
      <c r="M31" s="665"/>
      <c r="O31" s="146"/>
      <c r="P31" s="624"/>
      <c r="Q31" s="624"/>
      <c r="R31" s="624"/>
      <c r="S31" s="624"/>
      <c r="T31" s="624"/>
      <c r="U31" s="146"/>
      <c r="V31" s="146"/>
      <c r="W31" s="146"/>
    </row>
    <row r="32" spans="1:23" ht="16.5" thickBot="1">
      <c r="B32" s="272">
        <f>+B30+1</f>
        <v>12</v>
      </c>
      <c r="C32" s="185"/>
      <c r="D32" s="271" t="s">
        <v>551</v>
      </c>
      <c r="E32" s="186"/>
      <c r="F32" s="187"/>
      <c r="G32" s="270" t="str">
        <f>"(Line "&amp;B28&amp;" + Line "&amp;B30&amp;")"</f>
        <v>(Line 10 + Line 11)</v>
      </c>
      <c r="H32" s="188"/>
      <c r="I32" s="666">
        <f>(I28+I30)</f>
        <v>143295365.87946862</v>
      </c>
      <c r="J32" s="667"/>
      <c r="K32" s="666">
        <f>+K28+K30</f>
        <v>69670769.44672291</v>
      </c>
      <c r="L32" s="666"/>
      <c r="M32" s="668">
        <f>+M28+M30</f>
        <v>73624596.432745695</v>
      </c>
      <c r="O32" s="146"/>
      <c r="P32" s="624"/>
      <c r="Q32" s="624"/>
      <c r="R32" s="624"/>
      <c r="S32" s="624"/>
      <c r="T32" s="624"/>
      <c r="U32" s="146"/>
      <c r="V32" s="146"/>
      <c r="W32" s="146"/>
    </row>
    <row r="33" spans="2:23">
      <c r="B33" s="13"/>
      <c r="C33" s="10"/>
      <c r="D33" s="181"/>
      <c r="E33" s="4"/>
      <c r="G33" s="65"/>
      <c r="H33" s="3"/>
      <c r="I33" s="654"/>
      <c r="J33" s="662"/>
      <c r="K33" s="654"/>
      <c r="L33" s="654"/>
      <c r="M33" s="654"/>
      <c r="O33" s="146"/>
      <c r="P33" s="624"/>
      <c r="Q33" s="624"/>
      <c r="R33" s="624"/>
      <c r="S33" s="624"/>
      <c r="T33" s="624"/>
      <c r="U33" s="146"/>
      <c r="V33" s="146"/>
      <c r="W33" s="146"/>
    </row>
    <row r="34" spans="2:23" ht="15.75">
      <c r="B34" s="67">
        <f>B32+1</f>
        <v>13</v>
      </c>
      <c r="C34" s="9"/>
      <c r="D34" s="181" t="s">
        <v>552</v>
      </c>
      <c r="E34" s="273"/>
      <c r="F34" s="274"/>
      <c r="G34" s="11" t="str">
        <f>"(Load WS, ln "&amp;'Load WS'!A50&amp;")"</f>
        <v>(Load WS, ln 33)</v>
      </c>
      <c r="H34" s="189"/>
      <c r="I34" s="654">
        <f>+M34</f>
        <v>8543</v>
      </c>
      <c r="J34" s="662"/>
      <c r="K34" s="654">
        <f>I34</f>
        <v>8543</v>
      </c>
      <c r="L34" s="654"/>
      <c r="M34" s="654">
        <f>+'Load WS'!S50</f>
        <v>8543</v>
      </c>
      <c r="O34" s="146"/>
      <c r="P34" s="624"/>
      <c r="Q34" s="624"/>
      <c r="R34" s="624"/>
      <c r="S34" s="624"/>
      <c r="T34" s="624"/>
      <c r="U34" s="146"/>
      <c r="V34" s="146"/>
      <c r="W34" s="146"/>
    </row>
    <row r="35" spans="2:23" ht="15.75">
      <c r="B35" s="67"/>
      <c r="C35" s="9"/>
      <c r="D35" s="190"/>
      <c r="E35" s="273"/>
      <c r="F35" s="274"/>
      <c r="G35" s="275"/>
      <c r="H35" s="189"/>
      <c r="I35" s="669"/>
      <c r="J35" s="670"/>
      <c r="K35" s="669"/>
      <c r="L35" s="654"/>
      <c r="M35" s="654"/>
      <c r="O35" s="146"/>
      <c r="P35" s="624"/>
      <c r="Q35" s="624"/>
      <c r="R35" s="624"/>
      <c r="S35" s="624"/>
      <c r="T35" s="624"/>
      <c r="U35" s="146"/>
      <c r="V35" s="146"/>
      <c r="W35" s="146"/>
    </row>
    <row r="36" spans="2:23" ht="15.75">
      <c r="B36" s="67">
        <f>B34+1</f>
        <v>14</v>
      </c>
      <c r="C36" s="9"/>
      <c r="D36" s="191" t="str">
        <f>"Monthly NITS Rate in $/MW - Month"</f>
        <v>Monthly NITS Rate in $/MW - Month</v>
      </c>
      <c r="E36" s="273"/>
      <c r="F36" s="274"/>
      <c r="G36" s="269" t="str">
        <f>"(Line "&amp;B32&amp;" / Line "&amp;B34&amp;") /12 "</f>
        <v xml:space="preserve">(Line 12 / Line 13) /12 </v>
      </c>
      <c r="H36" s="189"/>
      <c r="I36" s="671">
        <f>ROUND((I32/I34)/12,2)</f>
        <v>1397.79</v>
      </c>
      <c r="J36" s="670"/>
      <c r="K36" s="671">
        <f>ROUND((K32/K34)/12,2)</f>
        <v>679.61</v>
      </c>
      <c r="L36" s="654"/>
      <c r="M36" s="671">
        <f>ROUND((M32/M34)/12,2)</f>
        <v>718.18</v>
      </c>
      <c r="O36" s="146"/>
      <c r="P36" s="624"/>
      <c r="Q36" s="624"/>
      <c r="R36" s="624"/>
      <c r="S36" s="624"/>
      <c r="T36" s="624"/>
      <c r="U36" s="146"/>
      <c r="V36" s="146"/>
      <c r="W36" s="146"/>
    </row>
    <row r="37" spans="2:23">
      <c r="B37" s="13"/>
      <c r="C37" s="10"/>
      <c r="D37" s="181"/>
      <c r="E37" s="4"/>
      <c r="G37" s="65"/>
      <c r="H37" s="3"/>
      <c r="I37" s="179"/>
      <c r="J37" s="3"/>
      <c r="K37" s="183"/>
      <c r="L37" s="183"/>
      <c r="M37" s="183"/>
      <c r="O37" s="146"/>
      <c r="P37" s="146"/>
      <c r="Q37" s="146"/>
      <c r="R37" s="146"/>
      <c r="S37" s="146"/>
      <c r="T37" s="146"/>
      <c r="U37" s="146"/>
      <c r="V37" s="146"/>
      <c r="W37" s="146"/>
    </row>
    <row r="38" spans="2:23">
      <c r="B38" s="13"/>
      <c r="C38" s="10"/>
      <c r="D38" s="181"/>
      <c r="E38" s="4"/>
      <c r="F38" s="65"/>
      <c r="G38" s="3"/>
      <c r="H38" s="3"/>
      <c r="I38" s="179"/>
      <c r="J38" s="3"/>
      <c r="K38" s="183"/>
      <c r="L38" s="183"/>
      <c r="M38" s="183"/>
      <c r="O38" s="146"/>
      <c r="P38" s="146"/>
      <c r="Q38" s="146"/>
      <c r="R38" s="146"/>
      <c r="S38" s="146"/>
      <c r="T38" s="146"/>
      <c r="U38" s="146"/>
      <c r="V38" s="146"/>
      <c r="W38" s="146"/>
    </row>
    <row r="39" spans="2:23">
      <c r="B39" s="1"/>
      <c r="C39" s="12"/>
      <c r="D39" s="12"/>
      <c r="E39" s="12"/>
      <c r="F39" s="12"/>
      <c r="G39" s="12"/>
      <c r="H39" s="12"/>
      <c r="I39" s="12"/>
      <c r="J39" s="12"/>
      <c r="K39" s="12"/>
      <c r="L39" s="12"/>
      <c r="M39" s="173"/>
      <c r="N39" s="12"/>
      <c r="O39" s="146"/>
      <c r="P39" s="146"/>
      <c r="Q39" s="146"/>
      <c r="R39" s="146"/>
      <c r="S39" s="146"/>
      <c r="T39" s="146"/>
      <c r="U39" s="146"/>
      <c r="V39" s="146"/>
      <c r="W39" s="146"/>
    </row>
    <row r="40" spans="2:23">
      <c r="B40" s="1"/>
      <c r="C40" s="12"/>
      <c r="D40" s="12"/>
      <c r="E40" s="12"/>
      <c r="F40" s="12"/>
      <c r="G40" s="12"/>
      <c r="H40" s="12"/>
      <c r="I40" s="12"/>
      <c r="J40" s="12"/>
      <c r="K40" s="12"/>
      <c r="L40" s="12"/>
      <c r="M40" s="173"/>
      <c r="N40" s="12"/>
      <c r="O40" s="146"/>
      <c r="P40" s="146"/>
      <c r="Q40" s="146"/>
      <c r="R40" s="146"/>
      <c r="S40" s="146"/>
      <c r="T40" s="146"/>
      <c r="U40" s="146"/>
      <c r="V40" s="146"/>
      <c r="W40" s="146"/>
    </row>
    <row r="41" spans="2:23">
      <c r="B41" s="1"/>
      <c r="C41" s="12"/>
      <c r="D41" s="12"/>
      <c r="E41" s="12"/>
      <c r="F41" s="12"/>
      <c r="G41" s="12"/>
      <c r="H41" s="12"/>
      <c r="I41" s="192"/>
      <c r="J41" s="12"/>
      <c r="K41" s="12"/>
      <c r="L41" s="12"/>
      <c r="M41" s="173"/>
      <c r="N41" s="12"/>
      <c r="O41" s="12"/>
      <c r="P41" s="12"/>
      <c r="Q41" s="12"/>
      <c r="R41" s="12"/>
      <c r="S41" s="12"/>
      <c r="T41" s="12"/>
      <c r="U41" s="12"/>
      <c r="V41" s="12"/>
      <c r="W41" s="12"/>
    </row>
    <row r="42" spans="2:23">
      <c r="B42" s="1"/>
      <c r="C42" s="12"/>
      <c r="D42" s="12"/>
      <c r="E42" s="12"/>
      <c r="F42" s="12"/>
      <c r="G42" s="12"/>
      <c r="H42" s="12"/>
      <c r="I42" s="12"/>
      <c r="J42" s="12"/>
      <c r="K42" s="12"/>
      <c r="L42" s="12"/>
      <c r="M42" s="173"/>
      <c r="N42" s="12"/>
      <c r="O42" s="12"/>
      <c r="P42" s="12"/>
      <c r="Q42" s="12"/>
      <c r="R42" s="12"/>
      <c r="S42" s="12"/>
      <c r="T42" s="12"/>
      <c r="U42" s="12"/>
      <c r="V42" s="12"/>
      <c r="W42" s="12"/>
    </row>
    <row r="43" spans="2:23">
      <c r="B43" s="1"/>
      <c r="C43" s="12"/>
      <c r="D43" s="12"/>
      <c r="E43" s="12"/>
      <c r="F43" s="12"/>
      <c r="G43" s="12"/>
      <c r="H43" s="12"/>
      <c r="I43" s="12"/>
      <c r="J43" s="12"/>
      <c r="K43" s="12"/>
      <c r="L43" s="12"/>
      <c r="M43" s="12"/>
      <c r="N43" s="12"/>
      <c r="O43" s="12"/>
      <c r="P43" s="12"/>
      <c r="Q43" s="12"/>
      <c r="R43" s="12"/>
      <c r="S43" s="12"/>
      <c r="T43" s="12"/>
      <c r="U43" s="12"/>
      <c r="V43" s="12"/>
      <c r="W43" s="12"/>
    </row>
    <row r="44" spans="2:23">
      <c r="B44" s="1"/>
      <c r="C44" s="12"/>
      <c r="D44" s="12"/>
      <c r="E44" s="12"/>
      <c r="F44" s="12"/>
      <c r="G44" s="12"/>
      <c r="H44" s="12"/>
      <c r="I44" s="192"/>
      <c r="J44" s="12"/>
      <c r="K44" s="12"/>
      <c r="L44" s="12"/>
      <c r="M44" s="12"/>
      <c r="N44" s="12"/>
      <c r="O44" s="12"/>
      <c r="P44" s="12"/>
      <c r="Q44" s="12"/>
      <c r="R44" s="12"/>
      <c r="S44" s="12"/>
      <c r="T44" s="12"/>
      <c r="U44" s="12"/>
      <c r="V44" s="12"/>
      <c r="W44" s="12"/>
    </row>
    <row r="45" spans="2:23">
      <c r="B45" s="1"/>
      <c r="C45" s="12"/>
      <c r="D45" s="12"/>
      <c r="E45" s="12"/>
      <c r="F45" s="12"/>
      <c r="G45" s="193"/>
      <c r="H45" s="12"/>
      <c r="I45" s="192"/>
      <c r="J45" s="12"/>
      <c r="K45" s="12"/>
      <c r="L45" s="12"/>
      <c r="M45" s="12"/>
      <c r="N45" s="12"/>
      <c r="O45" s="12"/>
      <c r="P45" s="12"/>
      <c r="Q45" s="12"/>
      <c r="R45" s="12"/>
      <c r="S45" s="12"/>
      <c r="T45" s="12"/>
      <c r="U45" s="12"/>
      <c r="V45" s="12"/>
      <c r="W45" s="12"/>
    </row>
    <row r="46" spans="2:23">
      <c r="B46" s="1"/>
      <c r="C46" s="12"/>
      <c r="D46" s="12"/>
      <c r="E46" s="12"/>
      <c r="F46" s="12"/>
      <c r="G46" s="193"/>
      <c r="H46" s="12"/>
      <c r="I46" s="192"/>
      <c r="J46" s="12"/>
      <c r="K46" s="12"/>
      <c r="L46" s="12"/>
      <c r="M46" s="12"/>
      <c r="N46" s="12"/>
      <c r="O46" s="12"/>
      <c r="P46" s="12"/>
      <c r="Q46" s="12"/>
      <c r="R46" s="12"/>
      <c r="S46" s="12"/>
      <c r="T46" s="12"/>
      <c r="U46" s="12"/>
      <c r="V46" s="12"/>
      <c r="W46" s="12"/>
    </row>
    <row r="47" spans="2:23">
      <c r="B47" s="1"/>
      <c r="C47" s="12"/>
      <c r="D47" s="12"/>
      <c r="E47" s="12"/>
      <c r="F47" s="194"/>
      <c r="G47" s="193"/>
      <c r="H47" s="12"/>
      <c r="I47" s="192"/>
      <c r="J47" s="12"/>
      <c r="K47" s="12"/>
      <c r="L47" s="12"/>
      <c r="M47" s="12"/>
      <c r="N47" s="12"/>
      <c r="O47" s="12"/>
      <c r="P47" s="12"/>
      <c r="Q47" s="12"/>
      <c r="R47" s="12"/>
      <c r="S47" s="12"/>
      <c r="T47" s="12"/>
      <c r="U47" s="12"/>
      <c r="V47" s="12"/>
      <c r="W47" s="12"/>
    </row>
    <row r="48" spans="2:23">
      <c r="B48" s="1"/>
      <c r="C48" s="12"/>
      <c r="D48" s="12"/>
      <c r="E48" s="12"/>
      <c r="F48" s="12"/>
      <c r="G48" s="12"/>
      <c r="H48" s="12"/>
      <c r="I48" s="192"/>
      <c r="J48" s="12"/>
      <c r="K48" s="12"/>
      <c r="L48" s="12"/>
      <c r="M48" s="12"/>
      <c r="N48" s="12"/>
      <c r="O48" s="12"/>
      <c r="P48" s="12"/>
      <c r="Q48" s="12"/>
      <c r="R48" s="12"/>
      <c r="S48" s="12"/>
      <c r="T48" s="12"/>
      <c r="U48" s="12"/>
      <c r="V48" s="12"/>
      <c r="W48" s="12"/>
    </row>
    <row r="49" spans="2:23">
      <c r="B49" s="1"/>
      <c r="C49" s="12"/>
      <c r="D49" s="12"/>
      <c r="E49" s="12"/>
      <c r="F49" s="12"/>
      <c r="G49" s="12"/>
      <c r="H49" s="12"/>
      <c r="I49" s="192"/>
      <c r="J49" s="12"/>
      <c r="K49" s="12"/>
      <c r="L49" s="12"/>
      <c r="M49" s="12"/>
      <c r="N49" s="12"/>
      <c r="O49" s="12"/>
      <c r="P49" s="12"/>
      <c r="Q49" s="12"/>
      <c r="R49" s="12"/>
      <c r="S49" s="12"/>
      <c r="T49" s="12"/>
      <c r="U49" s="12"/>
      <c r="V49" s="12"/>
      <c r="W49" s="12"/>
    </row>
    <row r="50" spans="2:23">
      <c r="B50" s="1"/>
      <c r="C50" s="12"/>
      <c r="D50" s="12"/>
      <c r="E50" s="12"/>
      <c r="F50" s="12"/>
      <c r="G50" s="12"/>
      <c r="H50" s="12"/>
      <c r="I50" s="192"/>
      <c r="J50" s="12"/>
      <c r="K50" s="12"/>
      <c r="L50" s="12"/>
      <c r="M50" s="12"/>
      <c r="N50" s="12"/>
      <c r="O50" s="12"/>
      <c r="P50" s="12"/>
      <c r="Q50" s="12"/>
      <c r="R50" s="12"/>
      <c r="S50" s="12"/>
      <c r="T50" s="12"/>
      <c r="U50" s="12"/>
      <c r="V50" s="12"/>
      <c r="W50" s="12"/>
    </row>
    <row r="51" spans="2:23">
      <c r="B51" s="1"/>
      <c r="C51" s="12"/>
      <c r="D51" s="12"/>
      <c r="E51" s="12"/>
      <c r="F51" s="12"/>
      <c r="G51" s="12"/>
      <c r="H51" s="12"/>
      <c r="I51" s="12"/>
      <c r="J51" s="12"/>
      <c r="K51" s="12"/>
      <c r="L51" s="12"/>
      <c r="M51" s="12"/>
      <c r="N51" s="12"/>
      <c r="O51" s="12"/>
      <c r="P51" s="12"/>
      <c r="Q51" s="12"/>
      <c r="R51" s="12"/>
      <c r="S51" s="12"/>
      <c r="T51" s="12"/>
      <c r="U51" s="12"/>
      <c r="V51" s="12"/>
      <c r="W51" s="12"/>
    </row>
    <row r="52" spans="2:23">
      <c r="B52" s="1"/>
      <c r="C52" s="12"/>
      <c r="D52" s="12"/>
      <c r="E52" s="12"/>
      <c r="F52" s="12"/>
      <c r="G52" s="12"/>
      <c r="H52" s="12"/>
      <c r="I52" s="12"/>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sheetData>
  <printOptions horizontalCentered="1"/>
  <pageMargins left="0.25" right="0.25" top="1" bottom="1" header="0.65" footer="0.5"/>
  <pageSetup scale="70"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zoomScale="81" zoomScaleNormal="81" zoomScaleSheetLayoutView="93" zoomScalePageLayoutView="80" workbookViewId="0">
      <selection activeCell="J27" sqref="J27"/>
    </sheetView>
  </sheetViews>
  <sheetFormatPr defaultColWidth="9.140625" defaultRowHeight="12.75"/>
  <cols>
    <col min="1" max="2" width="9.7109375" style="152" customWidth="1"/>
    <col min="3" max="3" width="50.7109375" style="25" customWidth="1"/>
    <col min="4" max="10" width="16.7109375" style="25" customWidth="1"/>
    <col min="11" max="11" width="13.85546875" style="25" customWidth="1"/>
    <col min="12" max="16384" width="9.140625" style="25"/>
  </cols>
  <sheetData>
    <row r="1" spans="1:16" ht="15">
      <c r="A1" s="288"/>
    </row>
    <row r="2" spans="1:16" ht="18">
      <c r="A2" s="2452" t="str">
        <f>+'PSO TCOS'!F4</f>
        <v xml:space="preserve">AEP West SPP Member Operating Companies </v>
      </c>
      <c r="B2" s="2452"/>
      <c r="C2" s="2452"/>
      <c r="D2" s="2452"/>
      <c r="E2" s="2452"/>
      <c r="F2" s="2452"/>
      <c r="G2" s="2452"/>
      <c r="H2" s="2452"/>
      <c r="I2" s="2452"/>
      <c r="J2" s="2452"/>
      <c r="K2" s="151"/>
      <c r="L2" s="15"/>
      <c r="M2" s="15"/>
      <c r="N2" s="15"/>
      <c r="O2" s="15"/>
      <c r="P2" s="15"/>
    </row>
    <row r="3" spans="1:16" ht="18">
      <c r="A3" s="2453" t="str">
        <f>+'PSO WS A-1 - Plant'!A3</f>
        <v xml:space="preserve">Actual / Projected 2018 Rate Year Cost of Service Formula Rate </v>
      </c>
      <c r="B3" s="2453"/>
      <c r="C3" s="2453"/>
      <c r="D3" s="2453"/>
      <c r="E3" s="2453"/>
      <c r="F3" s="2453"/>
      <c r="G3" s="2453"/>
      <c r="H3" s="2453"/>
      <c r="I3" s="2453"/>
      <c r="J3" s="2453"/>
      <c r="K3" s="151"/>
      <c r="L3" s="15"/>
      <c r="M3" s="15"/>
      <c r="N3" s="15"/>
      <c r="O3" s="15"/>
      <c r="P3" s="15"/>
    </row>
    <row r="4" spans="1:16" ht="18">
      <c r="A4" s="2453" t="s">
        <v>532</v>
      </c>
      <c r="B4" s="2453"/>
      <c r="C4" s="2453"/>
      <c r="D4" s="2453"/>
      <c r="E4" s="2453"/>
      <c r="F4" s="2453"/>
      <c r="G4" s="2453"/>
      <c r="H4" s="2453"/>
      <c r="I4" s="2453"/>
      <c r="J4" s="2453"/>
    </row>
    <row r="5" spans="1:16" ht="18">
      <c r="A5" s="2454" t="str">
        <f>+'PSO TCOS'!F8</f>
        <v>PUBLIC SERVICE COMPANY OF OKLAHOMA</v>
      </c>
      <c r="B5" s="2454"/>
      <c r="C5" s="2454"/>
      <c r="D5" s="2454"/>
      <c r="E5" s="2454"/>
      <c r="F5" s="2454"/>
      <c r="G5" s="2454"/>
      <c r="H5" s="2454"/>
      <c r="I5" s="2454"/>
      <c r="J5" s="2454"/>
    </row>
    <row r="6" spans="1:16" ht="20.25">
      <c r="B6" s="153"/>
      <c r="C6" s="150"/>
      <c r="D6" s="150"/>
      <c r="E6" s="45"/>
      <c r="F6" s="150"/>
      <c r="G6" s="150"/>
      <c r="H6" s="150"/>
      <c r="I6" s="150"/>
      <c r="J6" s="45"/>
    </row>
    <row r="7" spans="1:16" ht="20.25">
      <c r="B7" s="153"/>
      <c r="C7" s="45" t="s">
        <v>256</v>
      </c>
      <c r="D7" s="150"/>
      <c r="E7" s="45"/>
      <c r="F7" s="150"/>
      <c r="G7" s="150"/>
      <c r="H7" s="150"/>
      <c r="I7" s="150"/>
      <c r="J7" s="150"/>
    </row>
    <row r="8" spans="1:16">
      <c r="C8" s="154"/>
      <c r="G8" s="152"/>
      <c r="H8" s="152"/>
      <c r="I8" s="152"/>
    </row>
    <row r="9" spans="1:16">
      <c r="B9" s="16" t="s">
        <v>303</v>
      </c>
      <c r="C9" s="16" t="s">
        <v>304</v>
      </c>
      <c r="D9" s="16" t="s">
        <v>305</v>
      </c>
      <c r="E9" s="16" t="s">
        <v>231</v>
      </c>
      <c r="F9" s="16" t="s">
        <v>232</v>
      </c>
      <c r="G9" s="16" t="s">
        <v>233</v>
      </c>
      <c r="H9" s="16" t="s">
        <v>238</v>
      </c>
      <c r="I9" s="16" t="s">
        <v>179</v>
      </c>
      <c r="J9" s="16" t="s">
        <v>73</v>
      </c>
    </row>
    <row r="10" spans="1:16">
      <c r="E10" s="155" t="s">
        <v>256</v>
      </c>
      <c r="F10" s="18" t="s">
        <v>234</v>
      </c>
      <c r="G10" s="16" t="s">
        <v>160</v>
      </c>
      <c r="H10" s="16" t="s">
        <v>74</v>
      </c>
      <c r="I10" s="16" t="s">
        <v>256</v>
      </c>
      <c r="J10" s="16" t="s">
        <v>319</v>
      </c>
    </row>
    <row r="11" spans="1:16">
      <c r="A11" s="16" t="s">
        <v>310</v>
      </c>
      <c r="C11" s="31"/>
      <c r="D11" s="16"/>
      <c r="E11" s="16" t="s">
        <v>256</v>
      </c>
      <c r="F11" s="16" t="s">
        <v>257</v>
      </c>
      <c r="G11" s="16" t="s">
        <v>195</v>
      </c>
      <c r="H11" s="16" t="s">
        <v>75</v>
      </c>
      <c r="I11" s="16" t="s">
        <v>302</v>
      </c>
      <c r="J11" s="16" t="s">
        <v>72</v>
      </c>
    </row>
    <row r="12" spans="1:16">
      <c r="A12" s="19" t="s">
        <v>259</v>
      </c>
      <c r="B12" s="19" t="s">
        <v>237</v>
      </c>
      <c r="C12" s="19" t="s">
        <v>308</v>
      </c>
      <c r="D12" s="19" t="s">
        <v>235</v>
      </c>
      <c r="E12" s="19" t="s">
        <v>76</v>
      </c>
      <c r="F12" s="19" t="s">
        <v>196</v>
      </c>
      <c r="G12" s="19" t="s">
        <v>196</v>
      </c>
      <c r="H12" s="19" t="s">
        <v>77</v>
      </c>
      <c r="I12" s="19" t="s">
        <v>196</v>
      </c>
      <c r="J12" s="19" t="s">
        <v>78</v>
      </c>
    </row>
    <row r="13" spans="1:16">
      <c r="C13" s="154"/>
      <c r="G13" s="152"/>
      <c r="H13" s="152"/>
      <c r="I13" s="152"/>
    </row>
    <row r="14" spans="1:16" ht="12.75" customHeight="1">
      <c r="C14" s="31"/>
      <c r="G14" s="152"/>
      <c r="H14" s="152"/>
      <c r="I14" s="152"/>
    </row>
    <row r="15" spans="1:16" ht="12.75" customHeight="1">
      <c r="B15" s="165" t="s">
        <v>506</v>
      </c>
      <c r="C15" s="31"/>
      <c r="G15" s="152"/>
      <c r="H15" s="152"/>
      <c r="I15" s="152"/>
    </row>
    <row r="16" spans="1:16" ht="12.75" customHeight="1">
      <c r="C16" s="31"/>
      <c r="G16" s="152"/>
      <c r="H16" s="152"/>
      <c r="I16" s="152"/>
    </row>
    <row r="17" spans="1:10" ht="15.75">
      <c r="C17" s="166" t="s">
        <v>508</v>
      </c>
    </row>
    <row r="18" spans="1:10" ht="6" customHeight="1">
      <c r="C18" s="36"/>
    </row>
    <row r="19" spans="1:10" ht="12.75" customHeight="1">
      <c r="A19" s="152">
        <v>1</v>
      </c>
      <c r="B19" s="156" t="s">
        <v>81</v>
      </c>
      <c r="C19" s="38" t="str">
        <f>""&amp;'PSO TCOS'!N2&amp;" Year End Tax Deferrals - WS C-1"</f>
        <v>2018 Year End Tax Deferrals - WS C-1</v>
      </c>
      <c r="D19" s="1028">
        <f>+'PSO WS C-1 ADIT EOY'!H52</f>
        <v>-999269707.91999996</v>
      </c>
      <c r="E19" s="1028">
        <f>+'PSO WS C-1 ADIT EOY'!J52</f>
        <v>-310832877.57762957</v>
      </c>
      <c r="F19" s="1028">
        <f>+'PSO WS C-1 ADIT EOY'!K52</f>
        <v>-77831358.032370433</v>
      </c>
      <c r="G19" s="1028">
        <f>+'PSO WS C-1 ADIT EOY'!L52</f>
        <v>-598706165.59000003</v>
      </c>
      <c r="H19" s="1028">
        <f>+'PSO WS C-1 ADIT EOY'!M52</f>
        <v>0</v>
      </c>
      <c r="I19" s="1028">
        <f>+'PSO WS C-1 ADIT EOY'!N52</f>
        <v>-11899306.720000003</v>
      </c>
      <c r="J19" s="1029"/>
    </row>
    <row r="20" spans="1:10" ht="12.75" customHeight="1">
      <c r="A20" s="152">
        <f>+A19+1</f>
        <v>2</v>
      </c>
      <c r="B20" s="156" t="s">
        <v>81</v>
      </c>
      <c r="C20" s="38" t="str">
        <f>""&amp;'PSO TCOS'!N2-1&amp;" Year End Tax Deferrals - WS C-2"</f>
        <v>2017 Year End Tax Deferrals - WS C-2</v>
      </c>
      <c r="D20" s="1028">
        <f>+'PSO WS C-2 ADIT BOY'!H50</f>
        <v>-1025608963.29</v>
      </c>
      <c r="E20" s="1028">
        <f>+'PSO WS C-2 ADIT BOY'!J50</f>
        <v>2851285.3000000026</v>
      </c>
      <c r="F20" s="1028">
        <f>+'PSO WS C-2 ADIT BOY'!K50</f>
        <v>0</v>
      </c>
      <c r="G20" s="1028">
        <f>+'PSO WS C-2 ADIT BOY'!L50</f>
        <v>-1013943915.3299999</v>
      </c>
      <c r="H20" s="1028">
        <f>+'PSO WS C-2 ADIT BOY'!M50</f>
        <v>0</v>
      </c>
      <c r="I20" s="1028">
        <f>+'PSO WS C-2 ADIT BOY'!N50</f>
        <v>-14516333.26</v>
      </c>
      <c r="J20" s="1030"/>
    </row>
    <row r="21" spans="1:10" ht="12.75" customHeight="1">
      <c r="B21" s="158" t="s">
        <v>256</v>
      </c>
      <c r="D21" s="1031"/>
      <c r="E21" s="1032"/>
      <c r="F21" s="1031"/>
      <c r="G21" s="1031" t="s">
        <v>256</v>
      </c>
      <c r="H21" s="1031"/>
      <c r="I21" s="1031"/>
      <c r="J21" s="1033"/>
    </row>
    <row r="22" spans="1:10" ht="12.75" customHeight="1">
      <c r="A22" s="152">
        <f>+A20+1</f>
        <v>3</v>
      </c>
      <c r="C22" s="31" t="s">
        <v>79</v>
      </c>
      <c r="D22" s="1034">
        <f t="shared" ref="D22:I22" si="0">D19+D20</f>
        <v>-2024878671.21</v>
      </c>
      <c r="E22" s="1034">
        <f t="shared" si="0"/>
        <v>-307981592.27762955</v>
      </c>
      <c r="F22" s="1034">
        <f t="shared" si="0"/>
        <v>-77831358.032370433</v>
      </c>
      <c r="G22" s="1034">
        <f t="shared" si="0"/>
        <v>-1612650080.9200001</v>
      </c>
      <c r="H22" s="1034">
        <f t="shared" si="0"/>
        <v>0</v>
      </c>
      <c r="I22" s="1034">
        <f t="shared" si="0"/>
        <v>-26415639.980000004</v>
      </c>
      <c r="J22" s="1035"/>
    </row>
    <row r="23" spans="1:10" ht="12.75" customHeight="1">
      <c r="A23" s="152">
        <f>+A22+1</f>
        <v>4</v>
      </c>
      <c r="C23" s="31" t="s">
        <v>875</v>
      </c>
      <c r="D23" s="1036">
        <f t="shared" ref="D23:I23" si="1">D22/2</f>
        <v>-1012439335.605</v>
      </c>
      <c r="E23" s="1036">
        <f t="shared" si="1"/>
        <v>-153990796.13881478</v>
      </c>
      <c r="F23" s="1036">
        <f t="shared" si="1"/>
        <v>-38915679.016185217</v>
      </c>
      <c r="G23" s="1036">
        <f t="shared" si="1"/>
        <v>-806325040.46000004</v>
      </c>
      <c r="H23" s="1037">
        <f t="shared" si="1"/>
        <v>0</v>
      </c>
      <c r="I23" s="1034">
        <f t="shared" si="1"/>
        <v>-13207819.990000002</v>
      </c>
      <c r="J23" s="1035"/>
    </row>
    <row r="24" spans="1:10" ht="12.75" customHeight="1">
      <c r="A24" s="152">
        <f>+A23+1</f>
        <v>5</v>
      </c>
      <c r="B24" s="245"/>
      <c r="C24" s="396" t="str">
        <f>"Proration Adjustment - WS C-3, Ln "&amp;'PSO WS C-3 ADIT Proration'!A34</f>
        <v>Proration Adjustment - WS C-3, Ln 19</v>
      </c>
      <c r="D24" s="1036"/>
      <c r="E24" s="1036"/>
      <c r="F24" s="1036"/>
      <c r="G24" s="1036">
        <f>'PSO WS C-3 ADIT Proration'!I34</f>
        <v>0</v>
      </c>
      <c r="H24" s="1037"/>
      <c r="I24" s="1038"/>
      <c r="J24" s="1035"/>
    </row>
    <row r="25" spans="1:10" ht="12.75" customHeight="1">
      <c r="A25" s="152">
        <f>+A24+1</f>
        <v>6</v>
      </c>
      <c r="C25" s="31" t="s">
        <v>528</v>
      </c>
      <c r="D25" s="1039">
        <f t="shared" ref="D25:I25" si="2">+D23+D24</f>
        <v>-1012439335.605</v>
      </c>
      <c r="E25" s="1039">
        <f t="shared" si="2"/>
        <v>-153990796.13881478</v>
      </c>
      <c r="F25" s="1039">
        <f t="shared" si="2"/>
        <v>-38915679.016185217</v>
      </c>
      <c r="G25" s="1039">
        <f t="shared" si="2"/>
        <v>-806325040.46000004</v>
      </c>
      <c r="H25" s="1039">
        <f t="shared" si="2"/>
        <v>0</v>
      </c>
      <c r="I25" s="1039">
        <f t="shared" si="2"/>
        <v>-13207819.990000002</v>
      </c>
      <c r="J25" s="1035"/>
    </row>
    <row r="26" spans="1:10" ht="12.75" customHeight="1">
      <c r="A26" s="152">
        <f>+A25+1</f>
        <v>7</v>
      </c>
      <c r="B26" s="159"/>
      <c r="C26" s="157" t="s">
        <v>876</v>
      </c>
      <c r="D26" s="1040"/>
      <c r="E26" s="1041">
        <v>0</v>
      </c>
      <c r="F26" s="1041">
        <v>1</v>
      </c>
      <c r="G26" s="1041">
        <f>'PSO TCOS'!J63</f>
        <v>0.15860876278269179</v>
      </c>
      <c r="H26" s="1041">
        <f>'PSO TCOS'!J64</f>
        <v>0.25873029457777175</v>
      </c>
      <c r="I26" s="1041">
        <f>'PSO TCOS'!L221</f>
        <v>7.834466905550759E-2</v>
      </c>
      <c r="J26" s="1033"/>
    </row>
    <row r="27" spans="1:10" ht="12.75" customHeight="1">
      <c r="A27" s="152">
        <f>+A26+1</f>
        <v>8</v>
      </c>
      <c r="C27" s="31" t="s">
        <v>80</v>
      </c>
      <c r="D27" s="1033"/>
      <c r="E27" s="1035">
        <f>E26*E25</f>
        <v>0</v>
      </c>
      <c r="F27" s="1035">
        <f>F26*F25</f>
        <v>-38915679.016185217</v>
      </c>
      <c r="G27" s="1035">
        <f>G26*G25</f>
        <v>-127890217.0680645</v>
      </c>
      <c r="H27" s="1035">
        <f>H26*H25</f>
        <v>0</v>
      </c>
      <c r="I27" s="1035">
        <f>I26*I25</f>
        <v>-1034762.2860612677</v>
      </c>
      <c r="J27" s="1042">
        <f>SUM(F27:I27)</f>
        <v>-167840658.37031096</v>
      </c>
    </row>
    <row r="28" spans="1:10" ht="12.75" customHeight="1">
      <c r="C28" s="36"/>
      <c r="D28" s="1033"/>
      <c r="E28" s="1033"/>
      <c r="F28" s="1033"/>
      <c r="G28" s="1033"/>
      <c r="H28" s="1033"/>
      <c r="I28" s="1033"/>
      <c r="J28" s="1033"/>
    </row>
    <row r="29" spans="1:10" ht="12.75" customHeight="1">
      <c r="C29" s="36"/>
      <c r="D29" s="1033"/>
      <c r="E29" s="1033"/>
      <c r="F29" s="1033"/>
      <c r="G29" s="1033"/>
      <c r="H29" s="1033"/>
      <c r="I29" s="1033"/>
      <c r="J29" s="1033"/>
    </row>
    <row r="30" spans="1:10" ht="12.75" customHeight="1">
      <c r="C30" s="166" t="s">
        <v>509</v>
      </c>
      <c r="D30" s="1033"/>
      <c r="E30" s="1033"/>
      <c r="F30" s="1033"/>
      <c r="G30" s="1033"/>
      <c r="H30" s="1033"/>
      <c r="I30" s="1033"/>
      <c r="J30" s="1033"/>
    </row>
    <row r="31" spans="1:10" ht="6" customHeight="1">
      <c r="C31" s="36"/>
      <c r="D31" s="1033"/>
      <c r="E31" s="1033"/>
      <c r="F31" s="1033"/>
      <c r="G31" s="1033"/>
      <c r="H31" s="1033"/>
      <c r="I31" s="1033"/>
      <c r="J31" s="1033"/>
    </row>
    <row r="32" spans="1:10" ht="12.75" customHeight="1">
      <c r="A32" s="152">
        <f>+A27:B27+1</f>
        <v>9</v>
      </c>
      <c r="B32" s="156" t="s">
        <v>92</v>
      </c>
      <c r="C32" s="38" t="str">
        <f>+C19</f>
        <v>2018 Year End Tax Deferrals - WS C-1</v>
      </c>
      <c r="D32" s="1028">
        <f>+'PSO WS C-1 ADIT EOY'!H102</f>
        <v>-238075600.33999997</v>
      </c>
      <c r="E32" s="1028">
        <f>+'PSO WS C-1 ADIT EOY'!J102</f>
        <v>-45313859.752370454</v>
      </c>
      <c r="F32" s="1028">
        <f>+'PSO WS C-1 ADIT EOY'!K102</f>
        <v>6534881.432370441</v>
      </c>
      <c r="G32" s="1028">
        <f>+'PSO WS C-1 ADIT EOY'!L102</f>
        <v>-180535210.95999998</v>
      </c>
      <c r="H32" s="1028">
        <f>+'PSO WS C-1 ADIT EOY'!M102</f>
        <v>0.20999999999999996</v>
      </c>
      <c r="I32" s="1028">
        <f>+'PSO WS C-1 ADIT EOY'!N102</f>
        <v>-18761411.270000003</v>
      </c>
      <c r="J32" s="1029"/>
    </row>
    <row r="33" spans="1:10" ht="12.75" customHeight="1">
      <c r="A33" s="152">
        <f>+A32+1</f>
        <v>10</v>
      </c>
      <c r="B33" s="156" t="s">
        <v>92</v>
      </c>
      <c r="C33" s="38" t="str">
        <f>+C20</f>
        <v>2017 Year End Tax Deferrals - WS C-2</v>
      </c>
      <c r="D33" s="1028">
        <f>+'PSO WS C-2 ADIT BOY'!H101</f>
        <v>-271666702.26999998</v>
      </c>
      <c r="E33" s="1028">
        <f>+'PSO WS C-2 ADIT BOY'!J101</f>
        <v>-51202045.699999996</v>
      </c>
      <c r="F33" s="1028">
        <f>+'PSO WS C-2 ADIT BOY'!K101</f>
        <v>0</v>
      </c>
      <c r="G33" s="1028">
        <f>+'PSO WS C-2 ADIT BOY'!L101</f>
        <v>-188884806.70999998</v>
      </c>
      <c r="H33" s="1028">
        <f>+'PSO WS C-2 ADIT BOY'!M101</f>
        <v>0.35</v>
      </c>
      <c r="I33" s="1028">
        <f>+'PSO WS C-2 ADIT BOY'!N101</f>
        <v>-31579850.210000001</v>
      </c>
      <c r="J33" s="1030"/>
    </row>
    <row r="34" spans="1:10" ht="12.75" customHeight="1">
      <c r="B34" s="158" t="s">
        <v>256</v>
      </c>
      <c r="D34" s="1031"/>
      <c r="E34" s="1032"/>
      <c r="F34" s="1031"/>
      <c r="G34" s="1031" t="s">
        <v>256</v>
      </c>
      <c r="H34" s="1031"/>
      <c r="I34" s="1031"/>
      <c r="J34" s="1033"/>
    </row>
    <row r="35" spans="1:10" ht="12.75" customHeight="1">
      <c r="A35" s="152">
        <f>+A33+1</f>
        <v>11</v>
      </c>
      <c r="C35" s="31" t="s">
        <v>79</v>
      </c>
      <c r="D35" s="1034">
        <f t="shared" ref="D35:I35" si="3">D32+D33</f>
        <v>-509742302.60999995</v>
      </c>
      <c r="E35" s="1034">
        <f t="shared" si="3"/>
        <v>-96515905.45237045</v>
      </c>
      <c r="F35" s="1034">
        <f t="shared" si="3"/>
        <v>6534881.432370441</v>
      </c>
      <c r="G35" s="1034">
        <f t="shared" si="3"/>
        <v>-369420017.66999996</v>
      </c>
      <c r="H35" s="1034">
        <f t="shared" si="3"/>
        <v>0.55999999999999994</v>
      </c>
      <c r="I35" s="1034">
        <f t="shared" si="3"/>
        <v>-50341261.480000004</v>
      </c>
      <c r="J35" s="1035"/>
    </row>
    <row r="36" spans="1:10" ht="12.75" customHeight="1">
      <c r="A36" s="152">
        <f>+A35+1</f>
        <v>12</v>
      </c>
      <c r="C36" s="31" t="s">
        <v>354</v>
      </c>
      <c r="D36" s="1036">
        <f t="shared" ref="D36:I36" si="4">D35/2</f>
        <v>-254871151.30499998</v>
      </c>
      <c r="E36" s="1036">
        <f t="shared" si="4"/>
        <v>-48257952.726185225</v>
      </c>
      <c r="F36" s="1036">
        <f t="shared" si="4"/>
        <v>3267440.7161852205</v>
      </c>
      <c r="G36" s="1036">
        <f t="shared" si="4"/>
        <v>-184710008.83499998</v>
      </c>
      <c r="H36" s="1036">
        <f t="shared" si="4"/>
        <v>0.27999999999999997</v>
      </c>
      <c r="I36" s="1036">
        <f t="shared" si="4"/>
        <v>-25170630.740000002</v>
      </c>
      <c r="J36" s="1035"/>
    </row>
    <row r="37" spans="1:10" ht="12.75" customHeight="1">
      <c r="A37" s="152">
        <f>+A36+1</f>
        <v>13</v>
      </c>
      <c r="B37" s="159"/>
      <c r="C37" s="157" t="s">
        <v>877</v>
      </c>
      <c r="D37" s="1040"/>
      <c r="E37" s="1041">
        <f>E26</f>
        <v>0</v>
      </c>
      <c r="F37" s="1041">
        <f>F26</f>
        <v>1</v>
      </c>
      <c r="G37" s="1041">
        <f>G26</f>
        <v>0.15860876278269179</v>
      </c>
      <c r="H37" s="1041">
        <f>H26</f>
        <v>0.25873029457777175</v>
      </c>
      <c r="I37" s="1041">
        <f>I26</f>
        <v>7.834466905550759E-2</v>
      </c>
      <c r="J37" s="1033"/>
    </row>
    <row r="38" spans="1:10" ht="12.75" customHeight="1">
      <c r="A38" s="152">
        <f>+A37+1</f>
        <v>14</v>
      </c>
      <c r="C38" s="31" t="s">
        <v>80</v>
      </c>
      <c r="D38" s="1033"/>
      <c r="E38" s="1035">
        <f>E36*E37</f>
        <v>0</v>
      </c>
      <c r="F38" s="1035">
        <f>F36*F37</f>
        <v>3267440.7161852205</v>
      </c>
      <c r="G38" s="1035">
        <f>G36*G37</f>
        <v>-29296625.974899415</v>
      </c>
      <c r="H38" s="1035">
        <f>H36*H37</f>
        <v>7.2444482481776082E-2</v>
      </c>
      <c r="I38" s="1035">
        <f>I36*I37</f>
        <v>-1971984.7352436862</v>
      </c>
      <c r="J38" s="1042">
        <f>SUM(F38:I38)</f>
        <v>-28001169.921513397</v>
      </c>
    </row>
    <row r="39" spans="1:10" ht="12.75" customHeight="1">
      <c r="C39" s="36"/>
      <c r="D39" s="1033"/>
      <c r="E39" s="1033"/>
      <c r="F39" s="1033"/>
      <c r="G39" s="1033"/>
      <c r="H39" s="1033"/>
      <c r="I39" s="1033"/>
      <c r="J39" s="1033"/>
    </row>
    <row r="40" spans="1:10" ht="12.75" customHeight="1">
      <c r="B40" s="32"/>
      <c r="C40" s="149"/>
      <c r="D40" s="1043"/>
      <c r="E40" s="1043"/>
      <c r="F40" s="1043"/>
      <c r="G40" s="1043"/>
      <c r="H40" s="1043"/>
      <c r="I40" s="1043"/>
      <c r="J40" s="1043"/>
    </row>
    <row r="41" spans="1:10" ht="12.75" customHeight="1">
      <c r="C41" s="31"/>
      <c r="D41" s="1033"/>
      <c r="E41" s="1035"/>
      <c r="F41" s="1035"/>
      <c r="G41" s="1035"/>
      <c r="H41" s="1035"/>
      <c r="I41" s="1035"/>
      <c r="J41" s="1044"/>
    </row>
    <row r="42" spans="1:10" ht="15.75">
      <c r="C42" s="166" t="s">
        <v>507</v>
      </c>
      <c r="D42" s="1033"/>
      <c r="E42" s="1033"/>
      <c r="F42" s="1033"/>
      <c r="G42" s="1033"/>
      <c r="H42" s="1033"/>
      <c r="I42" s="1033"/>
      <c r="J42" s="1033"/>
    </row>
    <row r="43" spans="1:10" ht="12.75" customHeight="1">
      <c r="D43" s="1033"/>
      <c r="E43" s="1033"/>
      <c r="F43" s="1033"/>
      <c r="G43" s="1033"/>
      <c r="H43" s="1033"/>
      <c r="I43" s="1045"/>
      <c r="J43" s="1033"/>
    </row>
    <row r="44" spans="1:10" ht="12.75" customHeight="1">
      <c r="A44" s="152">
        <f>+A38+1</f>
        <v>15</v>
      </c>
      <c r="B44" s="160">
        <v>190.1</v>
      </c>
      <c r="C44" s="38" t="str">
        <f>+C19</f>
        <v>2018 Year End Tax Deferrals - WS C-1</v>
      </c>
      <c r="D44" s="1028">
        <f>+'PSO WS C-1 ADIT EOY'!H163</f>
        <v>119010870.77999999</v>
      </c>
      <c r="E44" s="1028">
        <f>+'PSO WS C-1 ADIT EOY'!J163</f>
        <v>75180042.289999992</v>
      </c>
      <c r="F44" s="1028">
        <f>+'PSO WS C-1 ADIT EOY'!K163</f>
        <v>0</v>
      </c>
      <c r="G44" s="1028">
        <f>+'PSO WS C-1 ADIT EOY'!L163</f>
        <v>38344503.140000001</v>
      </c>
      <c r="H44" s="1028">
        <f>+'PSO WS C-1 ADIT EOY'!M163</f>
        <v>0</v>
      </c>
      <c r="I44" s="1028">
        <f>+'PSO WS C-1 ADIT EOY'!N163</f>
        <v>5486325.3499999996</v>
      </c>
      <c r="J44" s="1029"/>
    </row>
    <row r="45" spans="1:10">
      <c r="A45" s="152">
        <f>+A44+1</f>
        <v>16</v>
      </c>
      <c r="B45" s="160">
        <v>190.1</v>
      </c>
      <c r="C45" s="38" t="str">
        <f>+C20</f>
        <v>2017 Year End Tax Deferrals - WS C-2</v>
      </c>
      <c r="D45" s="1028">
        <f>+'PSO WS C-2 ADIT BOY'!H164</f>
        <v>150959847.27999997</v>
      </c>
      <c r="E45" s="1028">
        <f>+'PSO WS C-2 ADIT BOY'!J164</f>
        <v>78836257.629999995</v>
      </c>
      <c r="F45" s="1028">
        <f>+'PSO WS C-2 ADIT BOY'!K164</f>
        <v>0</v>
      </c>
      <c r="G45" s="1028">
        <f>+'PSO WS C-2 ADIT BOY'!L164</f>
        <v>63033001.469999999</v>
      </c>
      <c r="H45" s="1028">
        <f>+'PSO WS C-2 ADIT BOY'!M164</f>
        <v>0</v>
      </c>
      <c r="I45" s="1028">
        <f>+'PSO WS C-2 ADIT BOY'!N164</f>
        <v>9090588.1800000016</v>
      </c>
      <c r="J45" s="1030"/>
    </row>
    <row r="46" spans="1:10">
      <c r="B46" s="158" t="s">
        <v>256</v>
      </c>
      <c r="D46" s="1031"/>
      <c r="E46" s="1032"/>
      <c r="F46" s="1031"/>
      <c r="G46" s="1031" t="s">
        <v>256</v>
      </c>
      <c r="H46" s="1031"/>
      <c r="I46" s="1031"/>
      <c r="J46" s="1033"/>
    </row>
    <row r="47" spans="1:10">
      <c r="A47" s="152">
        <f>+A45+1</f>
        <v>17</v>
      </c>
      <c r="C47" s="31" t="s">
        <v>79</v>
      </c>
      <c r="D47" s="1034">
        <f t="shared" ref="D47:I47" si="5">D44+D45</f>
        <v>269970718.05999994</v>
      </c>
      <c r="E47" s="1034">
        <f t="shared" si="5"/>
        <v>154016299.91999999</v>
      </c>
      <c r="F47" s="1034">
        <f t="shared" si="5"/>
        <v>0</v>
      </c>
      <c r="G47" s="1034">
        <f t="shared" si="5"/>
        <v>101377504.61</v>
      </c>
      <c r="H47" s="1034">
        <f t="shared" si="5"/>
        <v>0</v>
      </c>
      <c r="I47" s="1034">
        <f t="shared" si="5"/>
        <v>14576913.530000001</v>
      </c>
      <c r="J47" s="1035"/>
    </row>
    <row r="48" spans="1:10">
      <c r="A48" s="152">
        <f>+A47+1</f>
        <v>18</v>
      </c>
      <c r="C48" s="31" t="s">
        <v>875</v>
      </c>
      <c r="D48" s="1037">
        <f t="shared" ref="D48:I48" si="6">D47/2</f>
        <v>134985359.02999997</v>
      </c>
      <c r="E48" s="1037">
        <f t="shared" si="6"/>
        <v>77008149.959999993</v>
      </c>
      <c r="F48" s="1037">
        <f t="shared" si="6"/>
        <v>0</v>
      </c>
      <c r="G48" s="1037">
        <f t="shared" si="6"/>
        <v>50688752.305</v>
      </c>
      <c r="H48" s="1037">
        <f t="shared" si="6"/>
        <v>0</v>
      </c>
      <c r="I48" s="1037">
        <f t="shared" si="6"/>
        <v>7288456.7650000006</v>
      </c>
      <c r="J48" s="1035"/>
    </row>
    <row r="49" spans="1:10">
      <c r="A49" s="152">
        <f>+A48+1</f>
        <v>19</v>
      </c>
      <c r="C49" s="396" t="str">
        <f>"Proration Adjustment - WS C-3, Ln "&amp;'PSO WS C-3 ADIT Proration'!A60</f>
        <v>Proration Adjustment - WS C-3, Ln 38</v>
      </c>
      <c r="D49" s="1036"/>
      <c r="E49" s="1036"/>
      <c r="F49" s="1036">
        <f>+'PSO WS C-3 ADIT Proration'!I60</f>
        <v>0</v>
      </c>
      <c r="G49" s="1036"/>
      <c r="H49" s="1037"/>
      <c r="I49" s="1038"/>
      <c r="J49" s="1035"/>
    </row>
    <row r="50" spans="1:10">
      <c r="A50" s="152">
        <f>+A49+1</f>
        <v>20</v>
      </c>
      <c r="C50" s="31" t="s">
        <v>528</v>
      </c>
      <c r="D50" s="1039">
        <f t="shared" ref="D50:I50" si="7">+D48+D49</f>
        <v>134985359.02999997</v>
      </c>
      <c r="E50" s="1039">
        <f t="shared" si="7"/>
        <v>77008149.959999993</v>
      </c>
      <c r="F50" s="1039">
        <f t="shared" si="7"/>
        <v>0</v>
      </c>
      <c r="G50" s="1039">
        <f t="shared" si="7"/>
        <v>50688752.305</v>
      </c>
      <c r="H50" s="1039">
        <f t="shared" si="7"/>
        <v>0</v>
      </c>
      <c r="I50" s="1039">
        <f t="shared" si="7"/>
        <v>7288456.7650000006</v>
      </c>
      <c r="J50" s="1035"/>
    </row>
    <row r="51" spans="1:10" ht="12.75" customHeight="1">
      <c r="A51" s="152">
        <f>+A50+1</f>
        <v>21</v>
      </c>
      <c r="B51" s="159"/>
      <c r="C51" s="157" t="s">
        <v>876</v>
      </c>
      <c r="D51" s="1040"/>
      <c r="E51" s="1041">
        <v>0</v>
      </c>
      <c r="F51" s="1041">
        <v>1</v>
      </c>
      <c r="G51" s="1041">
        <f>G37</f>
        <v>0.15860876278269179</v>
      </c>
      <c r="H51" s="1041">
        <f>H37</f>
        <v>0.25873029457777175</v>
      </c>
      <c r="I51" s="1041">
        <f>I37</f>
        <v>7.834466905550759E-2</v>
      </c>
      <c r="J51" s="1033"/>
    </row>
    <row r="52" spans="1:10">
      <c r="A52" s="152">
        <f>+A51+1</f>
        <v>22</v>
      </c>
      <c r="C52" s="31" t="s">
        <v>80</v>
      </c>
      <c r="D52" s="1033"/>
      <c r="E52" s="1035">
        <f>E51*E50</f>
        <v>0</v>
      </c>
      <c r="F52" s="1035">
        <f>F51*F50</f>
        <v>0</v>
      </c>
      <c r="G52" s="1035">
        <f>G51*G50</f>
        <v>8039680.2900943663</v>
      </c>
      <c r="H52" s="1035">
        <f>H51*H50</f>
        <v>0</v>
      </c>
      <c r="I52" s="1035">
        <f>I51*I50</f>
        <v>571011.73317930056</v>
      </c>
      <c r="J52" s="1042">
        <f>SUM(F52:I52)</f>
        <v>8610692.0232736673</v>
      </c>
    </row>
    <row r="53" spans="1:10">
      <c r="D53" s="1033"/>
      <c r="E53" s="1046"/>
      <c r="F53" s="1046"/>
      <c r="G53" s="1046"/>
      <c r="H53" s="1033"/>
      <c r="I53" s="1045"/>
      <c r="J53" s="1033"/>
    </row>
    <row r="54" spans="1:10">
      <c r="D54" s="1033"/>
      <c r="E54" s="1047"/>
      <c r="F54" s="1046"/>
      <c r="G54" s="2450" t="s">
        <v>71</v>
      </c>
      <c r="H54" s="1033"/>
      <c r="I54" s="1045"/>
      <c r="J54" s="1035" t="s">
        <v>256</v>
      </c>
    </row>
    <row r="55" spans="1:10" ht="15.75">
      <c r="C55" s="166" t="s">
        <v>82</v>
      </c>
      <c r="D55" s="1033"/>
      <c r="E55" s="1047"/>
      <c r="F55" s="1046"/>
      <c r="G55" s="2451"/>
      <c r="H55" s="1033"/>
      <c r="I55" s="1033"/>
      <c r="J55" s="1033"/>
    </row>
    <row r="56" spans="1:10" ht="6.75" customHeight="1">
      <c r="C56" s="36"/>
      <c r="D56" s="1033"/>
      <c r="E56" s="1047"/>
      <c r="F56" s="1046"/>
      <c r="G56" s="2451"/>
      <c r="H56" s="1033"/>
      <c r="I56" s="1033"/>
      <c r="J56" s="1033"/>
    </row>
    <row r="57" spans="1:10" ht="15.75">
      <c r="C57" s="168"/>
      <c r="D57" s="1033"/>
      <c r="E57" s="1033"/>
      <c r="F57" s="1033"/>
      <c r="G57" s="2451"/>
      <c r="H57" s="1033"/>
      <c r="I57" s="1033"/>
      <c r="J57" s="1033"/>
    </row>
    <row r="58" spans="1:10">
      <c r="A58" s="152">
        <f>+A52+1</f>
        <v>23</v>
      </c>
      <c r="B58" s="163">
        <v>255</v>
      </c>
      <c r="C58" s="164" t="str">
        <f>"Acc Defrd ITC - Federal - 12/31/"&amp;'PSO TCOS'!N2&amp;" (FF1 p. 267, Ln 2.h)"</f>
        <v>Acc Defrd ITC - Federal - 12/31/2018 (FF1 p. 267, Ln 2.h)</v>
      </c>
      <c r="D58" s="1048">
        <v>1860</v>
      </c>
      <c r="E58" s="1028"/>
      <c r="F58" s="1028"/>
      <c r="G58" s="1028">
        <v>0</v>
      </c>
      <c r="H58" s="1028"/>
      <c r="I58" s="1028"/>
      <c r="J58" s="1029"/>
    </row>
    <row r="59" spans="1:10">
      <c r="A59" s="152">
        <f>+A58+1</f>
        <v>24</v>
      </c>
      <c r="B59" s="163">
        <v>255</v>
      </c>
      <c r="C59" s="164" t="str">
        <f>"Acc Defrd ITC - Federal - 12/31/"&amp;'PSO TCOS'!N2-1&amp;" (FF1 p. 266, Ln 2.b)"</f>
        <v>Acc Defrd ITC - Federal - 12/31/2017 (FF1 p. 266, Ln 2.b)</v>
      </c>
      <c r="D59" s="1048">
        <v>3565</v>
      </c>
      <c r="E59" s="1028"/>
      <c r="F59" s="1028"/>
      <c r="G59" s="1028">
        <f>D59</f>
        <v>3565</v>
      </c>
      <c r="H59" s="1028"/>
      <c r="I59" s="1028"/>
      <c r="J59" s="1030"/>
    </row>
    <row r="60" spans="1:10">
      <c r="B60" s="158" t="s">
        <v>256</v>
      </c>
      <c r="D60" s="1031"/>
      <c r="E60" s="1031"/>
      <c r="F60" s="1031"/>
      <c r="G60" s="1031" t="s">
        <v>256</v>
      </c>
      <c r="H60" s="1031"/>
      <c r="I60" s="1031"/>
      <c r="J60" s="1033"/>
    </row>
    <row r="61" spans="1:10">
      <c r="A61" s="152">
        <f>+A59+1</f>
        <v>25</v>
      </c>
      <c r="C61" s="31" t="s">
        <v>79</v>
      </c>
      <c r="D61" s="1034">
        <f>D58+D59</f>
        <v>5425</v>
      </c>
      <c r="E61" s="1034"/>
      <c r="F61" s="1034"/>
      <c r="G61" s="1034">
        <f>G58+G59</f>
        <v>3565</v>
      </c>
      <c r="H61" s="1034"/>
      <c r="I61" s="1034"/>
      <c r="J61" s="1035"/>
    </row>
    <row r="62" spans="1:10">
      <c r="A62" s="152">
        <f>+A61+1</f>
        <v>26</v>
      </c>
      <c r="C62" s="31" t="s">
        <v>354</v>
      </c>
      <c r="D62" s="1036">
        <f>D61/2</f>
        <v>2712.5</v>
      </c>
      <c r="E62" s="1036"/>
      <c r="F62" s="1036"/>
      <c r="G62" s="1036">
        <f>G61/2</f>
        <v>1782.5</v>
      </c>
      <c r="H62" s="1037"/>
      <c r="I62" s="1037"/>
      <c r="J62" s="1035"/>
    </row>
    <row r="63" spans="1:10" ht="12.75" customHeight="1">
      <c r="A63" s="152">
        <f>+A62+1</f>
        <v>27</v>
      </c>
      <c r="B63" s="159"/>
      <c r="C63" s="157" t="s">
        <v>876</v>
      </c>
      <c r="D63" s="1040"/>
      <c r="E63" s="1049"/>
      <c r="F63" s="1049"/>
      <c r="G63" s="1041">
        <f>G51</f>
        <v>0.15860876278269179</v>
      </c>
      <c r="H63" s="1049"/>
      <c r="I63" s="1049"/>
      <c r="J63" s="1033"/>
    </row>
    <row r="64" spans="1:10">
      <c r="A64" s="152">
        <f>+A63+1</f>
        <v>28</v>
      </c>
      <c r="C64" s="31" t="s">
        <v>80</v>
      </c>
      <c r="D64" s="1033"/>
      <c r="E64" s="1049" t="s">
        <v>16</v>
      </c>
      <c r="F64" s="1049" t="s">
        <v>16</v>
      </c>
      <c r="G64" s="1035">
        <f>G63*G62</f>
        <v>282.7201196601481</v>
      </c>
      <c r="H64" s="1049" t="s">
        <v>16</v>
      </c>
      <c r="I64" s="1049" t="s">
        <v>16</v>
      </c>
      <c r="J64" s="1042">
        <f>SUM(F64:I64)</f>
        <v>282.7201196601481</v>
      </c>
    </row>
    <row r="65" spans="2:10" ht="12.75" customHeight="1">
      <c r="C65" s="36"/>
      <c r="E65" s="162"/>
      <c r="F65" s="161"/>
      <c r="G65" s="162"/>
    </row>
    <row r="66" spans="2:10" ht="12.75" customHeight="1">
      <c r="C66" s="36"/>
      <c r="E66" s="162"/>
      <c r="F66" s="161"/>
      <c r="G66" s="162"/>
    </row>
    <row r="67" spans="2:10" ht="12.75" customHeight="1">
      <c r="B67" s="59" t="s">
        <v>83</v>
      </c>
      <c r="C67" s="15" t="s">
        <v>84</v>
      </c>
      <c r="D67" s="15"/>
      <c r="E67" s="15"/>
      <c r="F67" s="15"/>
      <c r="G67" s="15"/>
      <c r="H67" s="15"/>
      <c r="I67" s="15"/>
      <c r="J67" s="15"/>
    </row>
    <row r="68" spans="2:10" ht="12.75" customHeight="1">
      <c r="B68" s="59"/>
      <c r="C68" s="15"/>
      <c r="D68" s="15"/>
      <c r="E68" s="15"/>
      <c r="F68" s="15"/>
      <c r="G68" s="15"/>
      <c r="H68" s="15"/>
      <c r="I68" s="15"/>
      <c r="J68" s="15"/>
    </row>
    <row r="69" spans="2:10" ht="12.75" customHeight="1">
      <c r="B69" s="59"/>
      <c r="C69" s="15"/>
      <c r="D69" s="15"/>
      <c r="E69" s="15"/>
      <c r="F69" s="15"/>
      <c r="G69" s="15"/>
      <c r="H69" s="15"/>
      <c r="I69" s="15"/>
      <c r="J69" s="15"/>
    </row>
    <row r="70" spans="2:10" ht="12.75" customHeight="1">
      <c r="B70" s="59"/>
      <c r="C70" s="15"/>
      <c r="D70" s="15"/>
      <c r="E70" s="15"/>
      <c r="F70" s="15"/>
      <c r="G70" s="15"/>
      <c r="H70" s="15"/>
      <c r="I70" s="15"/>
      <c r="J70" s="15"/>
    </row>
    <row r="71" spans="2:10" ht="12.75" customHeight="1">
      <c r="B71" s="59"/>
      <c r="C71" s="15"/>
      <c r="D71" s="15"/>
      <c r="E71" s="15"/>
      <c r="F71" s="15"/>
      <c r="G71" s="15"/>
      <c r="H71" s="15"/>
      <c r="I71" s="15"/>
      <c r="J71" s="15"/>
    </row>
    <row r="72" spans="2:10">
      <c r="B72" s="59"/>
      <c r="C72" s="15"/>
      <c r="D72" s="15"/>
      <c r="E72" s="15"/>
      <c r="F72" s="15"/>
      <c r="G72" s="15"/>
      <c r="H72" s="15"/>
      <c r="I72" s="15"/>
      <c r="J72" s="15"/>
    </row>
    <row r="73" spans="2:10">
      <c r="B73" s="59"/>
      <c r="C73" s="15"/>
      <c r="D73" s="15"/>
      <c r="E73" s="15"/>
      <c r="F73" s="15"/>
      <c r="G73" s="15"/>
      <c r="H73" s="15"/>
      <c r="I73" s="15"/>
      <c r="J73" s="15"/>
    </row>
    <row r="74" spans="2:10">
      <c r="B74" s="59"/>
      <c r="C74" s="15"/>
      <c r="D74" s="15"/>
      <c r="E74" s="15"/>
      <c r="F74" s="15"/>
      <c r="G74" s="15"/>
      <c r="H74" s="15"/>
      <c r="I74" s="15"/>
      <c r="J74" s="15"/>
    </row>
    <row r="75" spans="2:10">
      <c r="B75" s="59"/>
      <c r="C75" s="15"/>
      <c r="D75" s="15"/>
      <c r="E75" s="15"/>
      <c r="F75" s="15"/>
      <c r="G75" s="15"/>
      <c r="H75" s="15"/>
      <c r="I75" s="15"/>
      <c r="J75" s="15"/>
    </row>
    <row r="76" spans="2:10">
      <c r="B76" s="59"/>
      <c r="C76" s="15"/>
      <c r="D76" s="15"/>
      <c r="E76" s="15"/>
      <c r="F76" s="15"/>
      <c r="G76" s="15"/>
      <c r="H76" s="15"/>
      <c r="I76" s="15"/>
      <c r="J76" s="15" t="s">
        <v>256</v>
      </c>
    </row>
    <row r="77" spans="2:10">
      <c r="B77" s="59"/>
      <c r="C77" s="15"/>
      <c r="D77" s="15"/>
      <c r="E77" s="15"/>
      <c r="F77" s="15"/>
      <c r="G77" s="15"/>
      <c r="H77" s="15"/>
      <c r="I77" s="15"/>
      <c r="J77" s="15"/>
    </row>
    <row r="78" spans="2:10">
      <c r="B78" s="59"/>
      <c r="C78" s="15"/>
      <c r="D78" s="15"/>
      <c r="E78" s="15"/>
      <c r="F78" s="15"/>
      <c r="G78" s="15"/>
      <c r="H78" s="15"/>
      <c r="I78" s="15"/>
      <c r="J78" s="15"/>
    </row>
    <row r="79" spans="2:10">
      <c r="B79" s="59"/>
      <c r="C79" s="15"/>
      <c r="D79" s="15"/>
      <c r="E79" s="15"/>
      <c r="F79" s="15"/>
      <c r="G79" s="15"/>
      <c r="H79" s="15"/>
      <c r="I79" s="15"/>
      <c r="J79" s="15"/>
    </row>
    <row r="80" spans="2:10">
      <c r="B80" s="59"/>
      <c r="C80" s="15"/>
      <c r="D80" s="15"/>
      <c r="E80" s="15"/>
      <c r="F80" s="15"/>
      <c r="G80" s="15"/>
      <c r="H80" s="15"/>
      <c r="I80" s="15"/>
      <c r="J80" s="15"/>
    </row>
    <row r="81" spans="2:11">
      <c r="B81" s="59"/>
      <c r="C81" s="15"/>
      <c r="D81" s="15"/>
      <c r="E81" s="15"/>
      <c r="F81" s="15"/>
      <c r="G81" s="15"/>
      <c r="H81" s="15"/>
      <c r="I81" s="15"/>
      <c r="J81" s="15"/>
    </row>
    <row r="82" spans="2:11">
      <c r="B82" s="59"/>
      <c r="C82" s="15"/>
      <c r="D82" s="15"/>
      <c r="E82" s="15"/>
      <c r="F82" s="15"/>
      <c r="G82" s="15"/>
      <c r="H82" s="15"/>
      <c r="I82" s="15"/>
      <c r="J82" s="15"/>
    </row>
    <row r="83" spans="2:11">
      <c r="B83" s="59"/>
      <c r="C83" s="15"/>
      <c r="D83" s="15"/>
      <c r="E83" s="15"/>
      <c r="F83" s="15"/>
      <c r="G83" s="15"/>
      <c r="H83" s="15"/>
      <c r="I83" s="15"/>
      <c r="J83" s="15"/>
    </row>
    <row r="84" spans="2:11">
      <c r="B84" s="59"/>
      <c r="C84" s="15"/>
      <c r="D84" s="15"/>
      <c r="E84" s="15"/>
      <c r="F84" s="15"/>
      <c r="G84" s="15"/>
      <c r="H84" s="15"/>
      <c r="I84" s="15"/>
      <c r="J84" s="15"/>
      <c r="K84" s="15"/>
    </row>
    <row r="85" spans="2:11">
      <c r="B85" s="59"/>
      <c r="C85" s="15"/>
      <c r="D85" s="15"/>
      <c r="E85" s="15"/>
      <c r="F85" s="15"/>
      <c r="G85" s="15"/>
      <c r="H85" s="15"/>
      <c r="I85" s="15"/>
      <c r="J85" s="15"/>
      <c r="K85" s="15"/>
    </row>
    <row r="86" spans="2:11">
      <c r="B86" s="59"/>
      <c r="C86" s="15"/>
      <c r="D86" s="15"/>
      <c r="E86" s="15"/>
      <c r="F86" s="15"/>
      <c r="G86" s="15"/>
      <c r="H86" s="15"/>
      <c r="I86" s="15"/>
      <c r="J86" s="15"/>
      <c r="K86" s="15"/>
    </row>
    <row r="87" spans="2:11">
      <c r="B87" s="59"/>
      <c r="C87" s="15"/>
      <c r="D87" s="15"/>
      <c r="E87" s="15"/>
      <c r="F87" s="15"/>
      <c r="G87" s="15"/>
      <c r="H87" s="15"/>
      <c r="I87" s="15"/>
      <c r="J87" s="15"/>
      <c r="K87" s="15"/>
    </row>
    <row r="88" spans="2:11">
      <c r="B88" s="59"/>
      <c r="C88" s="15"/>
      <c r="D88" s="15"/>
      <c r="E88" s="15"/>
      <c r="F88" s="15"/>
      <c r="G88" s="15"/>
      <c r="H88" s="15"/>
      <c r="I88" s="15"/>
      <c r="J88" s="15"/>
      <c r="K88" s="15"/>
    </row>
    <row r="89" spans="2:11">
      <c r="B89" s="59"/>
      <c r="C89" s="15"/>
      <c r="D89" s="15"/>
      <c r="E89" s="15"/>
      <c r="F89" s="15"/>
      <c r="G89" s="15"/>
      <c r="H89" s="15"/>
      <c r="I89" s="15"/>
      <c r="J89" s="15"/>
      <c r="K89" s="15"/>
    </row>
    <row r="90" spans="2:11">
      <c r="B90" s="59"/>
      <c r="C90" s="15"/>
      <c r="D90" s="15"/>
      <c r="E90" s="15"/>
      <c r="F90" s="15"/>
      <c r="G90" s="15"/>
      <c r="H90" s="15"/>
      <c r="I90" s="15"/>
      <c r="J90" s="15"/>
      <c r="K90" s="15"/>
    </row>
    <row r="91" spans="2:11">
      <c r="B91" s="59"/>
      <c r="C91" s="15"/>
      <c r="D91" s="15"/>
      <c r="E91" s="15"/>
      <c r="F91" s="15"/>
      <c r="G91" s="15"/>
      <c r="H91" s="15"/>
      <c r="I91" s="15"/>
      <c r="J91" s="15"/>
      <c r="K91" s="15"/>
    </row>
    <row r="92" spans="2:11">
      <c r="B92" s="59"/>
      <c r="C92" s="15"/>
      <c r="D92" s="15"/>
      <c r="E92" s="15"/>
      <c r="F92" s="15"/>
      <c r="G92" s="15"/>
      <c r="H92" s="15"/>
      <c r="I92" s="15"/>
      <c r="J92" s="15"/>
      <c r="K92" s="15"/>
    </row>
    <row r="93" spans="2:11">
      <c r="B93" s="59"/>
      <c r="C93" s="15"/>
      <c r="D93" s="15"/>
      <c r="E93" s="15"/>
      <c r="F93" s="15"/>
      <c r="G93" s="15"/>
      <c r="H93" s="15"/>
      <c r="I93" s="15"/>
      <c r="J93" s="15"/>
      <c r="K93" s="15"/>
    </row>
    <row r="94" spans="2:11">
      <c r="B94" s="59"/>
      <c r="C94" s="15"/>
      <c r="D94" s="15"/>
      <c r="E94" s="15"/>
      <c r="F94" s="15"/>
      <c r="G94" s="15"/>
      <c r="H94" s="15"/>
      <c r="I94" s="15"/>
      <c r="J94" s="15"/>
      <c r="K94" s="15"/>
    </row>
    <row r="95" spans="2:11">
      <c r="B95" s="59"/>
      <c r="C95" s="15"/>
      <c r="D95" s="15"/>
      <c r="E95" s="15"/>
      <c r="F95" s="15"/>
      <c r="G95" s="15"/>
      <c r="H95" s="15"/>
      <c r="I95" s="15"/>
      <c r="J95" s="15"/>
      <c r="K95" s="15"/>
    </row>
    <row r="96" spans="2:11">
      <c r="B96" s="59"/>
      <c r="C96" s="15"/>
      <c r="D96" s="15"/>
      <c r="E96" s="15"/>
      <c r="F96" s="15"/>
      <c r="G96" s="15"/>
      <c r="H96" s="15"/>
      <c r="I96" s="15"/>
      <c r="J96" s="15"/>
      <c r="K96" s="15"/>
    </row>
    <row r="97" spans="2:11">
      <c r="B97" s="59"/>
      <c r="C97" s="15"/>
      <c r="D97" s="15"/>
      <c r="E97" s="15"/>
      <c r="F97" s="15"/>
      <c r="G97" s="15"/>
      <c r="H97" s="15"/>
      <c r="I97" s="15"/>
      <c r="J97" s="15"/>
      <c r="K97" s="15"/>
    </row>
    <row r="98" spans="2:11">
      <c r="B98" s="59"/>
      <c r="C98" s="15"/>
      <c r="D98" s="15"/>
      <c r="E98" s="15"/>
      <c r="F98" s="15"/>
      <c r="G98" s="15"/>
      <c r="H98" s="15"/>
      <c r="I98" s="15"/>
      <c r="J98" s="15"/>
      <c r="K98" s="15"/>
    </row>
    <row r="99" spans="2:11">
      <c r="B99" s="59"/>
      <c r="C99" s="15"/>
      <c r="D99" s="15"/>
      <c r="E99" s="15"/>
      <c r="F99" s="15"/>
      <c r="G99" s="15"/>
      <c r="H99" s="15"/>
      <c r="I99" s="15"/>
      <c r="J99" s="15"/>
      <c r="K99" s="15"/>
    </row>
    <row r="100" spans="2:11">
      <c r="B100" s="59"/>
      <c r="C100" s="15"/>
      <c r="D100" s="15"/>
      <c r="E100" s="15"/>
      <c r="F100" s="15"/>
      <c r="G100" s="15"/>
      <c r="H100" s="15"/>
      <c r="I100" s="15"/>
      <c r="J100" s="15"/>
      <c r="K100" s="15"/>
    </row>
    <row r="101" spans="2:11">
      <c r="B101" s="59"/>
      <c r="C101" s="15"/>
      <c r="D101" s="15"/>
      <c r="E101" s="15"/>
      <c r="F101" s="15"/>
      <c r="G101" s="15"/>
      <c r="H101" s="15"/>
      <c r="I101" s="15"/>
      <c r="J101" s="15"/>
      <c r="K101" s="15"/>
    </row>
    <row r="102" spans="2:11">
      <c r="B102" s="59"/>
      <c r="C102" s="15"/>
      <c r="D102" s="15"/>
      <c r="E102" s="15"/>
      <c r="F102" s="15"/>
      <c r="G102" s="15"/>
      <c r="H102" s="15"/>
      <c r="I102" s="15"/>
      <c r="J102" s="15"/>
      <c r="K102" s="15"/>
    </row>
    <row r="103" spans="2:11">
      <c r="B103" s="59"/>
      <c r="C103" s="15"/>
      <c r="D103" s="15"/>
      <c r="E103" s="15"/>
      <c r="F103" s="15"/>
      <c r="G103" s="15"/>
      <c r="H103" s="15"/>
      <c r="I103" s="15"/>
      <c r="J103" s="15"/>
      <c r="K103" s="15"/>
    </row>
    <row r="104" spans="2:11">
      <c r="B104" s="59"/>
      <c r="C104" s="15"/>
      <c r="D104" s="15"/>
      <c r="E104" s="15"/>
      <c r="F104" s="15"/>
      <c r="G104" s="15"/>
      <c r="H104" s="15"/>
      <c r="I104" s="15"/>
      <c r="J104" s="15"/>
      <c r="K104" s="15"/>
    </row>
    <row r="105" spans="2:11">
      <c r="B105" s="59"/>
      <c r="C105" s="15"/>
      <c r="D105" s="15"/>
      <c r="E105" s="15"/>
      <c r="F105" s="15"/>
      <c r="G105" s="15"/>
      <c r="H105" s="15"/>
      <c r="I105" s="15"/>
      <c r="J105" s="15"/>
      <c r="K105" s="15"/>
    </row>
    <row r="106" spans="2:11">
      <c r="B106" s="59"/>
      <c r="C106" s="15"/>
      <c r="D106" s="15"/>
      <c r="E106" s="15"/>
      <c r="F106" s="15"/>
      <c r="G106" s="15"/>
      <c r="H106" s="15"/>
      <c r="I106" s="15"/>
      <c r="J106" s="15"/>
      <c r="K106" s="15"/>
    </row>
    <row r="107" spans="2:11">
      <c r="B107" s="59"/>
      <c r="C107" s="15"/>
      <c r="D107" s="15"/>
      <c r="E107" s="15"/>
      <c r="F107" s="15"/>
      <c r="G107" s="15"/>
      <c r="H107" s="15"/>
      <c r="I107" s="15"/>
      <c r="J107" s="15"/>
      <c r="K107" s="15"/>
    </row>
    <row r="108" spans="2:11">
      <c r="B108" s="59"/>
      <c r="C108" s="15"/>
      <c r="D108" s="15"/>
      <c r="E108" s="15"/>
      <c r="F108" s="15"/>
      <c r="G108" s="15"/>
      <c r="H108" s="15"/>
      <c r="I108" s="15"/>
      <c r="J108" s="15"/>
      <c r="K108" s="15"/>
    </row>
    <row r="109" spans="2:11">
      <c r="B109" s="59"/>
      <c r="C109" s="15"/>
      <c r="D109" s="15"/>
      <c r="E109" s="15"/>
      <c r="F109" s="15"/>
      <c r="G109" s="15"/>
      <c r="H109" s="15"/>
      <c r="I109" s="15"/>
      <c r="J109" s="15"/>
      <c r="K109" s="15"/>
    </row>
    <row r="110" spans="2:11">
      <c r="B110" s="59"/>
      <c r="C110" s="15"/>
      <c r="D110" s="15"/>
      <c r="E110" s="15"/>
      <c r="F110" s="15"/>
      <c r="G110" s="15"/>
      <c r="H110" s="15"/>
      <c r="I110" s="15"/>
      <c r="J110" s="15"/>
      <c r="K110" s="15"/>
    </row>
    <row r="111" spans="2:11">
      <c r="B111" s="59"/>
      <c r="C111" s="15"/>
      <c r="D111" s="15"/>
      <c r="E111" s="15"/>
      <c r="F111" s="15"/>
      <c r="G111" s="15"/>
      <c r="H111" s="15"/>
      <c r="I111" s="15"/>
      <c r="J111" s="15"/>
      <c r="K111" s="15"/>
    </row>
    <row r="112" spans="2:11">
      <c r="B112" s="59"/>
      <c r="C112" s="15"/>
      <c r="D112" s="15"/>
      <c r="E112" s="15"/>
      <c r="F112" s="15"/>
      <c r="G112" s="15"/>
      <c r="H112" s="15"/>
      <c r="I112" s="15"/>
      <c r="J112" s="15"/>
      <c r="K112" s="15"/>
    </row>
    <row r="113" spans="2:11">
      <c r="B113" s="59"/>
      <c r="C113" s="15"/>
      <c r="D113" s="15"/>
      <c r="E113" s="15"/>
      <c r="F113" s="15"/>
      <c r="G113" s="15"/>
      <c r="H113" s="15"/>
      <c r="I113" s="15"/>
      <c r="J113" s="15"/>
      <c r="K113" s="15"/>
    </row>
    <row r="114" spans="2:11">
      <c r="B114" s="59"/>
      <c r="C114" s="15"/>
      <c r="D114" s="15"/>
      <c r="E114" s="15"/>
      <c r="F114" s="15"/>
      <c r="G114" s="15"/>
      <c r="H114" s="15"/>
      <c r="I114" s="15"/>
      <c r="J114" s="15"/>
      <c r="K114" s="15"/>
    </row>
    <row r="115" spans="2:11">
      <c r="B115" s="59"/>
      <c r="C115" s="15"/>
      <c r="D115" s="15"/>
      <c r="E115" s="15"/>
      <c r="F115" s="15"/>
      <c r="G115" s="15"/>
      <c r="H115" s="15"/>
      <c r="I115" s="15"/>
      <c r="J115" s="15"/>
      <c r="K115" s="15"/>
    </row>
    <row r="116" spans="2:11">
      <c r="B116" s="59"/>
      <c r="C116" s="15"/>
      <c r="D116" s="15"/>
      <c r="E116" s="15"/>
      <c r="F116" s="15"/>
      <c r="G116" s="15"/>
      <c r="H116" s="15"/>
      <c r="I116" s="15"/>
      <c r="J116" s="15"/>
      <c r="K116" s="15"/>
    </row>
    <row r="117" spans="2:11">
      <c r="B117" s="59"/>
      <c r="C117" s="15"/>
      <c r="D117" s="15"/>
      <c r="E117" s="15"/>
      <c r="F117" s="15"/>
      <c r="G117" s="15"/>
      <c r="H117" s="15"/>
      <c r="I117" s="15"/>
      <c r="J117" s="15"/>
      <c r="K117" s="15"/>
    </row>
    <row r="118" spans="2:11">
      <c r="B118" s="59"/>
      <c r="C118" s="15"/>
      <c r="D118" s="15"/>
      <c r="E118" s="15"/>
      <c r="F118" s="15"/>
      <c r="G118" s="15"/>
      <c r="H118" s="15"/>
      <c r="I118" s="15"/>
      <c r="J118" s="15"/>
      <c r="K118" s="15"/>
    </row>
    <row r="119" spans="2:11">
      <c r="B119" s="59"/>
      <c r="C119" s="15"/>
      <c r="D119" s="15"/>
      <c r="E119" s="15"/>
      <c r="F119" s="15"/>
      <c r="G119" s="15"/>
      <c r="H119" s="15"/>
      <c r="I119" s="15"/>
      <c r="J119" s="15"/>
      <c r="K119" s="15"/>
    </row>
    <row r="120" spans="2:11">
      <c r="B120" s="59"/>
      <c r="C120" s="15"/>
      <c r="D120" s="15"/>
      <c r="E120" s="15"/>
      <c r="F120" s="15"/>
      <c r="G120" s="15"/>
      <c r="H120" s="15"/>
      <c r="I120" s="15"/>
      <c r="J120" s="15"/>
      <c r="K120" s="15"/>
    </row>
    <row r="121" spans="2:11">
      <c r="B121" s="59"/>
      <c r="C121" s="15"/>
      <c r="D121" s="15"/>
      <c r="E121" s="15"/>
      <c r="F121" s="15"/>
      <c r="G121" s="15"/>
      <c r="H121" s="15"/>
      <c r="I121" s="15"/>
      <c r="J121" s="15"/>
      <c r="K121" s="15"/>
    </row>
    <row r="122" spans="2:11">
      <c r="B122" s="59"/>
      <c r="C122" s="15"/>
      <c r="D122" s="15"/>
      <c r="E122" s="15"/>
      <c r="F122" s="15"/>
      <c r="G122" s="15"/>
      <c r="H122" s="15"/>
      <c r="I122" s="15"/>
      <c r="J122" s="15"/>
      <c r="K122" s="15"/>
    </row>
    <row r="123" spans="2:11">
      <c r="B123" s="59"/>
      <c r="C123" s="15"/>
      <c r="D123" s="15"/>
      <c r="E123" s="15"/>
      <c r="F123" s="15"/>
      <c r="G123" s="15"/>
      <c r="H123" s="15"/>
      <c r="I123" s="15"/>
      <c r="J123" s="15"/>
      <c r="K123" s="15"/>
    </row>
    <row r="124" spans="2:11">
      <c r="B124" s="59"/>
      <c r="C124" s="15"/>
      <c r="D124" s="15"/>
      <c r="E124" s="15"/>
      <c r="F124" s="15"/>
      <c r="G124" s="15"/>
      <c r="H124" s="15"/>
      <c r="I124" s="15"/>
      <c r="J124" s="15"/>
      <c r="K124" s="15"/>
    </row>
    <row r="125" spans="2:11">
      <c r="B125" s="59"/>
      <c r="C125" s="15"/>
      <c r="D125" s="15"/>
      <c r="E125" s="15"/>
      <c r="F125" s="15"/>
      <c r="G125" s="15"/>
      <c r="H125" s="15"/>
      <c r="I125" s="15"/>
      <c r="J125" s="15"/>
      <c r="K125" s="15"/>
    </row>
    <row r="126" spans="2:11">
      <c r="B126" s="59"/>
      <c r="C126" s="15"/>
      <c r="D126" s="15"/>
      <c r="E126" s="15"/>
      <c r="F126" s="15"/>
      <c r="G126" s="15"/>
      <c r="H126" s="15"/>
      <c r="I126" s="15"/>
      <c r="J126" s="15"/>
      <c r="K126" s="15"/>
    </row>
    <row r="127" spans="2:11">
      <c r="B127" s="59"/>
      <c r="C127" s="15"/>
      <c r="D127" s="15"/>
      <c r="E127" s="15"/>
      <c r="F127" s="15"/>
      <c r="G127" s="15"/>
      <c r="H127" s="15"/>
      <c r="I127" s="15"/>
      <c r="J127" s="15"/>
      <c r="K127" s="15"/>
    </row>
    <row r="128" spans="2:11">
      <c r="B128" s="59"/>
      <c r="C128" s="15"/>
      <c r="D128" s="15"/>
      <c r="E128" s="15"/>
      <c r="F128" s="15"/>
      <c r="G128" s="15"/>
      <c r="H128" s="15"/>
      <c r="I128" s="15"/>
      <c r="J128" s="15"/>
      <c r="K128" s="15"/>
    </row>
    <row r="129" spans="2:11">
      <c r="B129" s="59"/>
      <c r="C129" s="15"/>
      <c r="D129" s="15"/>
      <c r="E129" s="15"/>
      <c r="F129" s="15"/>
      <c r="G129" s="15"/>
      <c r="H129" s="15"/>
      <c r="I129" s="15"/>
      <c r="J129" s="15"/>
      <c r="K129" s="15"/>
    </row>
    <row r="130" spans="2:11">
      <c r="B130" s="59"/>
      <c r="C130" s="15"/>
      <c r="D130" s="15"/>
      <c r="E130" s="15"/>
      <c r="F130" s="15"/>
      <c r="G130" s="15"/>
      <c r="H130" s="15"/>
      <c r="I130" s="15"/>
      <c r="J130" s="15"/>
      <c r="K130" s="15"/>
    </row>
    <row r="131" spans="2:11">
      <c r="B131" s="59"/>
      <c r="C131" s="15"/>
      <c r="D131" s="15"/>
      <c r="E131" s="15"/>
      <c r="F131" s="15"/>
      <c r="G131" s="15"/>
      <c r="H131" s="15"/>
      <c r="I131" s="15"/>
      <c r="J131" s="15"/>
      <c r="K131" s="15"/>
    </row>
    <row r="132" spans="2:11">
      <c r="B132" s="59"/>
      <c r="C132" s="15"/>
      <c r="D132" s="15"/>
      <c r="E132" s="15"/>
      <c r="F132" s="15"/>
      <c r="G132" s="15"/>
      <c r="H132" s="15"/>
      <c r="I132" s="15"/>
      <c r="J132" s="15"/>
      <c r="K132" s="15"/>
    </row>
    <row r="133" spans="2:11">
      <c r="B133" s="59"/>
      <c r="C133" s="15"/>
      <c r="D133" s="15"/>
      <c r="E133" s="15"/>
      <c r="F133" s="15"/>
      <c r="G133" s="15"/>
      <c r="H133" s="15"/>
      <c r="I133" s="15"/>
      <c r="J133" s="15"/>
      <c r="K133" s="15"/>
    </row>
    <row r="134" spans="2:11">
      <c r="B134" s="59"/>
      <c r="C134" s="15"/>
      <c r="D134" s="15"/>
      <c r="E134" s="15"/>
      <c r="F134" s="15"/>
      <c r="G134" s="15"/>
      <c r="H134" s="15"/>
      <c r="I134" s="15"/>
      <c r="J134" s="15"/>
      <c r="K134" s="15"/>
    </row>
    <row r="135" spans="2:11">
      <c r="B135" s="59"/>
      <c r="C135" s="15"/>
      <c r="D135" s="15"/>
      <c r="E135" s="15"/>
      <c r="F135" s="15"/>
      <c r="G135" s="15"/>
      <c r="H135" s="15"/>
      <c r="I135" s="15"/>
      <c r="J135" s="15"/>
      <c r="K135" s="15"/>
    </row>
    <row r="136" spans="2:11">
      <c r="B136" s="59"/>
      <c r="C136" s="15"/>
      <c r="D136" s="15"/>
      <c r="E136" s="15"/>
      <c r="F136" s="15"/>
      <c r="G136" s="15"/>
      <c r="H136" s="15"/>
      <c r="I136" s="15"/>
      <c r="J136" s="15"/>
      <c r="K136" s="15"/>
    </row>
    <row r="137" spans="2:11">
      <c r="B137" s="59"/>
      <c r="C137" s="15"/>
      <c r="D137" s="15"/>
      <c r="E137" s="15"/>
      <c r="F137" s="15"/>
      <c r="G137" s="15"/>
      <c r="H137" s="15"/>
      <c r="I137" s="15"/>
      <c r="J137" s="15"/>
      <c r="K137" s="15"/>
    </row>
    <row r="138" spans="2:11">
      <c r="B138" s="59"/>
      <c r="C138" s="15"/>
      <c r="D138" s="15"/>
      <c r="E138" s="15"/>
      <c r="F138" s="15"/>
      <c r="G138" s="15"/>
      <c r="H138" s="15"/>
      <c r="I138" s="15"/>
      <c r="J138" s="15"/>
      <c r="K138" s="15"/>
    </row>
    <row r="139" spans="2:11">
      <c r="B139" s="59"/>
      <c r="C139" s="15"/>
      <c r="D139" s="15"/>
      <c r="E139" s="15"/>
      <c r="F139" s="15"/>
      <c r="G139" s="15"/>
      <c r="H139" s="15"/>
      <c r="I139" s="15"/>
      <c r="J139" s="15"/>
      <c r="K139" s="15"/>
    </row>
    <row r="140" spans="2:11">
      <c r="B140" s="59"/>
      <c r="C140" s="15"/>
      <c r="D140" s="15"/>
      <c r="E140" s="15"/>
      <c r="F140" s="15"/>
      <c r="G140" s="15"/>
      <c r="H140" s="15"/>
      <c r="I140" s="15"/>
      <c r="J140" s="15"/>
      <c r="K140" s="15"/>
    </row>
    <row r="141" spans="2:11">
      <c r="B141" s="59"/>
      <c r="C141" s="15"/>
      <c r="D141" s="15"/>
      <c r="E141" s="15"/>
      <c r="F141" s="15"/>
      <c r="G141" s="15"/>
      <c r="H141" s="15"/>
      <c r="I141" s="15"/>
      <c r="J141" s="15"/>
      <c r="K141" s="15"/>
    </row>
    <row r="142" spans="2:11">
      <c r="B142" s="59"/>
      <c r="C142" s="15"/>
      <c r="D142" s="15"/>
      <c r="E142" s="15"/>
      <c r="F142" s="15"/>
      <c r="G142" s="15"/>
      <c r="H142" s="15"/>
      <c r="I142" s="15"/>
      <c r="J142" s="15"/>
      <c r="K142" s="15"/>
    </row>
    <row r="143" spans="2:11">
      <c r="B143" s="59"/>
      <c r="C143" s="15"/>
      <c r="D143" s="15"/>
      <c r="E143" s="15"/>
      <c r="F143" s="15"/>
      <c r="G143" s="15"/>
      <c r="H143" s="15"/>
      <c r="I143" s="15"/>
      <c r="J143" s="15"/>
      <c r="K143" s="15"/>
    </row>
    <row r="144" spans="2:11">
      <c r="B144" s="59"/>
      <c r="C144" s="15"/>
      <c r="D144" s="15"/>
      <c r="E144" s="15"/>
      <c r="F144" s="15"/>
      <c r="G144" s="15"/>
      <c r="H144" s="15"/>
      <c r="I144" s="15"/>
      <c r="J144" s="15"/>
      <c r="K144" s="15"/>
    </row>
    <row r="145" spans="2:11">
      <c r="B145" s="59"/>
      <c r="C145" s="15"/>
      <c r="D145" s="15"/>
      <c r="E145" s="15"/>
      <c r="F145" s="15"/>
      <c r="G145" s="15"/>
      <c r="H145" s="15"/>
      <c r="I145" s="15"/>
      <c r="J145" s="15"/>
      <c r="K145" s="15"/>
    </row>
    <row r="146" spans="2:11">
      <c r="B146" s="59"/>
      <c r="C146" s="15"/>
      <c r="D146" s="15"/>
      <c r="E146" s="15"/>
      <c r="F146" s="15"/>
      <c r="G146" s="15"/>
      <c r="H146" s="15"/>
      <c r="I146" s="15"/>
      <c r="J146" s="15"/>
      <c r="K146" s="15"/>
    </row>
    <row r="147" spans="2:11">
      <c r="B147" s="59"/>
      <c r="C147" s="15"/>
      <c r="D147" s="15"/>
      <c r="E147" s="15"/>
      <c r="F147" s="15"/>
      <c r="G147" s="15"/>
      <c r="H147" s="15"/>
      <c r="I147" s="15"/>
      <c r="J147" s="15"/>
      <c r="K147" s="15"/>
    </row>
    <row r="148" spans="2:11">
      <c r="B148" s="59"/>
      <c r="C148" s="15"/>
      <c r="D148" s="15"/>
      <c r="E148" s="15"/>
      <c r="F148" s="15"/>
      <c r="G148" s="15"/>
      <c r="H148" s="15"/>
      <c r="I148" s="15"/>
      <c r="J148" s="15"/>
      <c r="K148" s="15"/>
    </row>
    <row r="149" spans="2:11">
      <c r="B149" s="59"/>
      <c r="C149" s="15"/>
      <c r="D149" s="15"/>
      <c r="E149" s="15"/>
      <c r="F149" s="15"/>
      <c r="G149" s="15"/>
      <c r="H149" s="15"/>
      <c r="I149" s="15"/>
      <c r="J149" s="15"/>
      <c r="K149" s="15"/>
    </row>
    <row r="150" spans="2:11">
      <c r="B150" s="59"/>
      <c r="C150" s="15"/>
      <c r="D150" s="15"/>
      <c r="E150" s="15"/>
      <c r="F150" s="15"/>
      <c r="G150" s="15"/>
      <c r="H150" s="15"/>
      <c r="I150" s="15"/>
      <c r="J150" s="15"/>
      <c r="K150" s="15"/>
    </row>
    <row r="151" spans="2:11">
      <c r="B151" s="59"/>
      <c r="C151" s="15"/>
      <c r="D151" s="15"/>
      <c r="E151" s="15"/>
      <c r="F151" s="15"/>
      <c r="G151" s="15"/>
      <c r="H151" s="15"/>
      <c r="I151" s="15"/>
      <c r="J151" s="15"/>
      <c r="K151" s="15"/>
    </row>
    <row r="152" spans="2:11">
      <c r="B152" s="59"/>
      <c r="C152" s="15"/>
      <c r="D152" s="15"/>
      <c r="E152" s="15"/>
      <c r="F152" s="15"/>
      <c r="G152" s="15"/>
      <c r="H152" s="15"/>
      <c r="I152" s="15"/>
      <c r="J152" s="15"/>
      <c r="K152" s="15"/>
    </row>
    <row r="153" spans="2:11">
      <c r="B153" s="59"/>
      <c r="C153" s="15"/>
      <c r="D153" s="15"/>
      <c r="E153" s="15"/>
      <c r="F153" s="15"/>
      <c r="G153" s="15"/>
      <c r="H153" s="15"/>
      <c r="I153" s="15"/>
      <c r="J153" s="15"/>
      <c r="K153" s="15"/>
    </row>
    <row r="154" spans="2:11">
      <c r="B154" s="59"/>
      <c r="C154" s="15"/>
      <c r="D154" s="15"/>
      <c r="E154" s="15"/>
      <c r="F154" s="15"/>
      <c r="G154" s="15"/>
      <c r="H154" s="15"/>
      <c r="I154" s="15"/>
      <c r="J154" s="15"/>
      <c r="K154" s="15"/>
    </row>
    <row r="155" spans="2:11">
      <c r="B155" s="59"/>
      <c r="C155" s="15"/>
      <c r="D155" s="15"/>
      <c r="E155" s="15"/>
      <c r="F155" s="15"/>
      <c r="G155" s="15"/>
      <c r="H155" s="15"/>
      <c r="I155" s="15"/>
      <c r="J155" s="15"/>
      <c r="K155" s="15"/>
    </row>
    <row r="156" spans="2:11">
      <c r="B156" s="59"/>
      <c r="C156" s="15"/>
      <c r="D156" s="15"/>
      <c r="E156" s="15"/>
      <c r="F156" s="15"/>
      <c r="G156" s="15"/>
      <c r="H156" s="15"/>
      <c r="I156" s="15"/>
      <c r="J156" s="15"/>
      <c r="K156" s="15"/>
    </row>
    <row r="157" spans="2:11">
      <c r="B157" s="59"/>
      <c r="C157" s="15"/>
      <c r="D157" s="15"/>
      <c r="E157" s="15"/>
      <c r="F157" s="15"/>
      <c r="G157" s="15"/>
      <c r="H157" s="15"/>
      <c r="I157" s="15"/>
      <c r="J157" s="15"/>
      <c r="K157" s="15"/>
    </row>
    <row r="158" spans="2:11">
      <c r="B158" s="59"/>
      <c r="C158" s="15"/>
      <c r="D158" s="15"/>
      <c r="E158" s="15"/>
      <c r="F158" s="15"/>
      <c r="G158" s="15"/>
      <c r="H158" s="15"/>
      <c r="I158" s="15"/>
      <c r="J158" s="15"/>
      <c r="K158" s="15"/>
    </row>
    <row r="159" spans="2:11">
      <c r="B159" s="59"/>
      <c r="C159" s="15"/>
      <c r="D159" s="15"/>
      <c r="E159" s="15"/>
      <c r="F159" s="15"/>
      <c r="G159" s="15"/>
      <c r="H159" s="15"/>
      <c r="I159" s="15"/>
      <c r="J159" s="15"/>
      <c r="K159" s="15"/>
    </row>
    <row r="160" spans="2:11">
      <c r="B160" s="59"/>
      <c r="C160" s="15"/>
      <c r="D160" s="15"/>
      <c r="E160" s="15"/>
      <c r="F160" s="15"/>
      <c r="G160" s="15"/>
      <c r="H160" s="15"/>
      <c r="I160" s="15"/>
      <c r="J160" s="15"/>
      <c r="K160" s="15"/>
    </row>
    <row r="161" spans="2:11">
      <c r="B161" s="59"/>
      <c r="C161" s="15"/>
      <c r="D161" s="15"/>
      <c r="E161" s="15"/>
      <c r="F161" s="15"/>
      <c r="G161" s="15"/>
      <c r="H161" s="15"/>
      <c r="I161" s="15"/>
      <c r="J161" s="15"/>
      <c r="K161" s="15"/>
    </row>
    <row r="162" spans="2:11">
      <c r="B162" s="59"/>
      <c r="C162" s="15"/>
      <c r="D162" s="15"/>
      <c r="E162" s="15"/>
      <c r="F162" s="15"/>
      <c r="G162" s="15"/>
      <c r="H162" s="15"/>
      <c r="I162" s="15"/>
      <c r="J162" s="15"/>
      <c r="K162" s="15"/>
    </row>
    <row r="163" spans="2:11">
      <c r="B163" s="59"/>
      <c r="C163" s="15"/>
      <c r="D163" s="15"/>
      <c r="E163" s="15"/>
      <c r="F163" s="15"/>
      <c r="G163" s="15"/>
      <c r="H163" s="15"/>
      <c r="I163" s="15"/>
      <c r="J163" s="15"/>
      <c r="K163" s="15"/>
    </row>
    <row r="164" spans="2:11">
      <c r="B164" s="59"/>
      <c r="C164" s="15"/>
      <c r="D164" s="15"/>
      <c r="E164" s="15"/>
      <c r="F164" s="15"/>
      <c r="G164" s="15"/>
      <c r="H164" s="15"/>
      <c r="I164" s="15"/>
      <c r="J164" s="15"/>
      <c r="K164" s="15"/>
    </row>
    <row r="165" spans="2:11">
      <c r="B165" s="59"/>
      <c r="C165" s="15"/>
      <c r="D165" s="15"/>
      <c r="E165" s="15"/>
      <c r="F165" s="15"/>
      <c r="G165" s="15"/>
      <c r="H165" s="15"/>
      <c r="I165" s="15"/>
      <c r="J165" s="15"/>
      <c r="K165" s="15"/>
    </row>
    <row r="166" spans="2:11">
      <c r="B166" s="59"/>
      <c r="C166" s="15"/>
      <c r="D166" s="15"/>
      <c r="E166" s="15"/>
      <c r="F166" s="15"/>
      <c r="G166" s="15"/>
      <c r="H166" s="15"/>
      <c r="I166" s="15"/>
      <c r="J166" s="15"/>
      <c r="K166" s="15"/>
    </row>
    <row r="167" spans="2:11">
      <c r="B167" s="59"/>
      <c r="C167" s="15"/>
      <c r="D167" s="15"/>
      <c r="E167" s="15"/>
      <c r="F167" s="15"/>
      <c r="G167" s="15"/>
      <c r="H167" s="15"/>
      <c r="I167" s="15"/>
      <c r="J167" s="15"/>
      <c r="K167" s="15"/>
    </row>
    <row r="168" spans="2:11">
      <c r="B168" s="59"/>
      <c r="C168" s="15"/>
      <c r="D168" s="15"/>
      <c r="E168" s="15"/>
      <c r="F168" s="15"/>
      <c r="G168" s="15"/>
      <c r="H168" s="15"/>
      <c r="I168" s="15"/>
      <c r="J168" s="15"/>
      <c r="K168" s="15"/>
    </row>
    <row r="169" spans="2:11">
      <c r="B169" s="59"/>
      <c r="C169" s="15"/>
      <c r="D169" s="15"/>
      <c r="E169" s="15"/>
      <c r="F169" s="15"/>
      <c r="G169" s="15"/>
      <c r="H169" s="15"/>
      <c r="I169" s="15"/>
      <c r="J169" s="15"/>
      <c r="K169" s="15"/>
    </row>
    <row r="170" spans="2:11">
      <c r="B170" s="59"/>
      <c r="C170" s="15"/>
      <c r="D170" s="15"/>
      <c r="E170" s="15"/>
      <c r="F170" s="15"/>
      <c r="G170" s="15"/>
      <c r="H170" s="15"/>
      <c r="I170" s="15"/>
      <c r="J170" s="15"/>
      <c r="K170" s="15"/>
    </row>
    <row r="171" spans="2:11">
      <c r="B171" s="59"/>
      <c r="C171" s="15"/>
      <c r="D171" s="15"/>
      <c r="E171" s="15"/>
      <c r="F171" s="15"/>
      <c r="G171" s="15"/>
      <c r="H171" s="15"/>
      <c r="I171" s="15"/>
      <c r="J171" s="15"/>
      <c r="K171" s="15"/>
    </row>
    <row r="172" spans="2:11">
      <c r="B172" s="59"/>
      <c r="C172" s="15"/>
      <c r="D172" s="15"/>
      <c r="E172" s="15"/>
      <c r="F172" s="15"/>
      <c r="G172" s="15"/>
      <c r="H172" s="15"/>
      <c r="I172" s="15"/>
      <c r="J172" s="15"/>
      <c r="K172" s="15"/>
    </row>
    <row r="173" spans="2:11">
      <c r="B173" s="59"/>
      <c r="C173" s="15"/>
      <c r="D173" s="15"/>
      <c r="E173" s="15"/>
      <c r="F173" s="15"/>
      <c r="G173" s="15"/>
      <c r="H173" s="15"/>
      <c r="I173" s="15"/>
      <c r="J173" s="15"/>
      <c r="K173" s="15"/>
    </row>
    <row r="174" spans="2:11">
      <c r="B174" s="59"/>
      <c r="C174" s="15"/>
      <c r="D174" s="15"/>
      <c r="E174" s="15"/>
      <c r="F174" s="15"/>
      <c r="G174" s="15"/>
      <c r="H174" s="15"/>
      <c r="I174" s="15"/>
      <c r="J174" s="15"/>
      <c r="K174" s="15"/>
    </row>
    <row r="175" spans="2:11">
      <c r="B175" s="59"/>
      <c r="C175" s="15"/>
      <c r="D175" s="15"/>
      <c r="E175" s="15"/>
      <c r="F175" s="15"/>
      <c r="G175" s="15"/>
      <c r="H175" s="15"/>
      <c r="I175" s="15"/>
      <c r="J175" s="15"/>
      <c r="K175" s="15"/>
    </row>
    <row r="176" spans="2:11">
      <c r="B176" s="59"/>
      <c r="C176" s="15"/>
      <c r="D176" s="15"/>
      <c r="E176" s="15"/>
      <c r="F176" s="15"/>
      <c r="G176" s="15"/>
      <c r="H176" s="15"/>
      <c r="I176" s="15"/>
      <c r="J176" s="15"/>
      <c r="K176" s="15"/>
    </row>
    <row r="177" spans="2:11">
      <c r="B177" s="59"/>
      <c r="C177" s="15"/>
      <c r="D177" s="15"/>
      <c r="E177" s="15"/>
      <c r="F177" s="15"/>
      <c r="G177" s="15"/>
      <c r="H177" s="15"/>
      <c r="I177" s="15"/>
      <c r="J177" s="15"/>
      <c r="K177" s="15"/>
    </row>
    <row r="178" spans="2:11">
      <c r="B178" s="59"/>
      <c r="C178" s="15"/>
      <c r="D178" s="15"/>
      <c r="E178" s="15"/>
      <c r="F178" s="15"/>
      <c r="G178" s="15"/>
      <c r="H178" s="15"/>
      <c r="I178" s="15"/>
      <c r="J178" s="15"/>
      <c r="K178" s="15"/>
    </row>
    <row r="179" spans="2:11">
      <c r="B179" s="59"/>
      <c r="C179" s="15"/>
      <c r="D179" s="15"/>
      <c r="E179" s="15"/>
      <c r="F179" s="15"/>
      <c r="G179" s="15"/>
      <c r="H179" s="15"/>
      <c r="I179" s="15"/>
      <c r="J179" s="15"/>
      <c r="K179" s="15"/>
    </row>
    <row r="180" spans="2:11">
      <c r="B180" s="59"/>
      <c r="C180" s="15"/>
      <c r="D180" s="15"/>
      <c r="E180" s="15"/>
      <c r="F180" s="15"/>
      <c r="G180" s="15"/>
      <c r="H180" s="15"/>
      <c r="I180" s="15"/>
      <c r="J180" s="15"/>
      <c r="K180" s="15"/>
    </row>
    <row r="181" spans="2:11">
      <c r="B181" s="59"/>
      <c r="C181" s="15"/>
      <c r="D181" s="15"/>
      <c r="E181" s="15"/>
      <c r="F181" s="15"/>
      <c r="G181" s="15"/>
      <c r="H181" s="15"/>
      <c r="I181" s="15"/>
      <c r="J181" s="15"/>
      <c r="K181" s="15"/>
    </row>
    <row r="182" spans="2:11">
      <c r="B182" s="59"/>
      <c r="C182" s="15"/>
      <c r="D182" s="15"/>
      <c r="E182" s="15"/>
      <c r="F182" s="15"/>
      <c r="G182" s="15"/>
      <c r="H182" s="15"/>
      <c r="I182" s="15"/>
      <c r="J182" s="15"/>
      <c r="K182" s="15"/>
    </row>
    <row r="183" spans="2:11">
      <c r="B183" s="59"/>
      <c r="C183" s="15"/>
      <c r="D183" s="15"/>
      <c r="E183" s="15"/>
      <c r="F183" s="15"/>
      <c r="G183" s="15"/>
      <c r="H183" s="15"/>
      <c r="I183" s="15"/>
      <c r="J183" s="15"/>
      <c r="K183" s="15"/>
    </row>
    <row r="184" spans="2:11">
      <c r="B184" s="59"/>
      <c r="C184" s="15"/>
      <c r="D184" s="15"/>
      <c r="E184" s="15"/>
      <c r="F184" s="15"/>
      <c r="G184" s="15"/>
      <c r="H184" s="15"/>
      <c r="I184" s="15"/>
      <c r="J184" s="15"/>
      <c r="K184" s="15"/>
    </row>
    <row r="185" spans="2:11">
      <c r="B185" s="59"/>
      <c r="C185" s="15"/>
      <c r="D185" s="15"/>
      <c r="E185" s="15"/>
      <c r="F185" s="15"/>
      <c r="G185" s="15"/>
      <c r="H185" s="15"/>
      <c r="I185" s="15"/>
      <c r="J185" s="15"/>
      <c r="K185" s="15"/>
    </row>
    <row r="186" spans="2:11">
      <c r="B186" s="59"/>
      <c r="C186" s="15"/>
      <c r="D186" s="15"/>
      <c r="E186" s="15"/>
      <c r="F186" s="15"/>
      <c r="G186" s="15"/>
      <c r="H186" s="15"/>
      <c r="I186" s="15"/>
      <c r="J186" s="15"/>
      <c r="K186" s="15"/>
    </row>
    <row r="187" spans="2:11">
      <c r="B187" s="59"/>
      <c r="C187" s="15"/>
      <c r="D187" s="15"/>
      <c r="E187" s="15"/>
      <c r="F187" s="15"/>
      <c r="G187" s="15"/>
      <c r="H187" s="15"/>
      <c r="I187" s="15"/>
      <c r="J187" s="15"/>
      <c r="K187" s="15"/>
    </row>
    <row r="188" spans="2:11">
      <c r="B188" s="59"/>
      <c r="C188" s="15"/>
      <c r="D188" s="15"/>
      <c r="E188" s="15"/>
      <c r="F188" s="15"/>
      <c r="G188" s="15"/>
      <c r="H188" s="15"/>
      <c r="I188" s="15"/>
      <c r="J188" s="15"/>
      <c r="K188" s="15"/>
    </row>
    <row r="189" spans="2:11">
      <c r="B189" s="59"/>
      <c r="C189" s="15"/>
      <c r="D189" s="15"/>
      <c r="E189" s="15"/>
      <c r="F189" s="15"/>
      <c r="G189" s="15"/>
      <c r="H189" s="15"/>
      <c r="I189" s="15"/>
      <c r="J189" s="15"/>
      <c r="K189" s="15"/>
    </row>
    <row r="190" spans="2:11">
      <c r="B190" s="59"/>
      <c r="C190" s="15"/>
      <c r="D190" s="15"/>
      <c r="E190" s="15"/>
      <c r="F190" s="15"/>
      <c r="G190" s="15"/>
      <c r="H190" s="15"/>
      <c r="I190" s="15"/>
      <c r="J190" s="15"/>
      <c r="K190" s="15"/>
    </row>
    <row r="191" spans="2:11">
      <c r="B191" s="59"/>
      <c r="C191" s="15"/>
      <c r="D191" s="15"/>
      <c r="E191" s="15"/>
      <c r="F191" s="15"/>
      <c r="G191" s="15"/>
      <c r="H191" s="15"/>
      <c r="I191" s="15"/>
      <c r="J191" s="15"/>
      <c r="K191" s="15"/>
    </row>
    <row r="192" spans="2:11">
      <c r="B192" s="59"/>
      <c r="C192" s="15"/>
      <c r="D192" s="15"/>
      <c r="E192" s="15"/>
      <c r="F192" s="15"/>
      <c r="G192" s="15"/>
      <c r="H192" s="15"/>
      <c r="I192" s="15"/>
      <c r="J192" s="15"/>
      <c r="K192" s="15"/>
    </row>
    <row r="193" spans="2:11">
      <c r="B193" s="59"/>
      <c r="C193" s="15"/>
      <c r="D193" s="15"/>
      <c r="E193" s="15"/>
      <c r="F193" s="15"/>
      <c r="G193" s="15"/>
      <c r="H193" s="15"/>
      <c r="I193" s="15"/>
      <c r="J193" s="15"/>
      <c r="K193" s="15"/>
    </row>
    <row r="194" spans="2:11">
      <c r="B194" s="59"/>
      <c r="C194" s="15"/>
      <c r="D194" s="15"/>
      <c r="E194" s="15"/>
      <c r="F194" s="15"/>
      <c r="G194" s="15"/>
      <c r="H194" s="15"/>
      <c r="I194" s="15"/>
      <c r="J194" s="15"/>
      <c r="K194" s="15"/>
    </row>
    <row r="195" spans="2:11">
      <c r="B195" s="59"/>
      <c r="C195" s="15"/>
      <c r="D195" s="15"/>
      <c r="E195" s="15"/>
      <c r="F195" s="15"/>
      <c r="G195" s="15"/>
      <c r="H195" s="15"/>
      <c r="I195" s="15"/>
      <c r="J195" s="15"/>
      <c r="K195" s="15"/>
    </row>
    <row r="196" spans="2:11">
      <c r="B196" s="59"/>
      <c r="C196" s="15"/>
      <c r="D196" s="15"/>
      <c r="E196" s="15"/>
      <c r="F196" s="15"/>
      <c r="G196" s="15"/>
      <c r="H196" s="15"/>
      <c r="I196" s="15"/>
      <c r="J196" s="15"/>
      <c r="K196" s="15"/>
    </row>
    <row r="197" spans="2:11">
      <c r="B197" s="59"/>
      <c r="C197" s="15"/>
      <c r="D197" s="15"/>
      <c r="E197" s="15"/>
      <c r="F197" s="15"/>
      <c r="G197" s="15"/>
      <c r="H197" s="15"/>
      <c r="I197" s="15"/>
      <c r="J197" s="15"/>
      <c r="K197" s="15"/>
    </row>
    <row r="198" spans="2:11">
      <c r="B198" s="59"/>
      <c r="C198" s="15"/>
      <c r="D198" s="15"/>
      <c r="E198" s="15"/>
      <c r="F198" s="15"/>
      <c r="G198" s="15"/>
      <c r="H198" s="15"/>
      <c r="I198" s="15"/>
      <c r="J198" s="15"/>
      <c r="K198" s="15"/>
    </row>
    <row r="199" spans="2:11">
      <c r="B199" s="59"/>
      <c r="C199" s="15"/>
      <c r="D199" s="15"/>
      <c r="E199" s="15"/>
      <c r="F199" s="15"/>
      <c r="G199" s="15"/>
      <c r="H199" s="15"/>
      <c r="I199" s="15"/>
      <c r="J199" s="15"/>
      <c r="K199" s="15"/>
    </row>
    <row r="200" spans="2:11">
      <c r="B200" s="59"/>
      <c r="C200" s="15"/>
      <c r="D200" s="15"/>
      <c r="E200" s="15"/>
      <c r="F200" s="15"/>
      <c r="G200" s="15"/>
      <c r="H200" s="15"/>
      <c r="I200" s="15"/>
      <c r="J200" s="15"/>
      <c r="K200" s="15"/>
    </row>
    <row r="201" spans="2:11">
      <c r="B201" s="59"/>
      <c r="C201" s="15"/>
      <c r="D201" s="15"/>
      <c r="E201" s="15"/>
      <c r="F201" s="15"/>
      <c r="G201" s="15"/>
      <c r="H201" s="15"/>
      <c r="I201" s="15"/>
      <c r="J201" s="15"/>
      <c r="K201" s="15"/>
    </row>
    <row r="202" spans="2:11">
      <c r="B202" s="59"/>
      <c r="C202" s="15"/>
      <c r="D202" s="15"/>
      <c r="E202" s="15"/>
      <c r="F202" s="15"/>
      <c r="G202" s="15"/>
      <c r="H202" s="15"/>
      <c r="I202" s="15"/>
      <c r="J202" s="15"/>
      <c r="K202" s="15"/>
    </row>
    <row r="203" spans="2:11">
      <c r="B203" s="59"/>
      <c r="C203" s="15"/>
      <c r="D203" s="15"/>
      <c r="E203" s="15"/>
      <c r="F203" s="15"/>
      <c r="G203" s="15"/>
      <c r="H203" s="15"/>
      <c r="I203" s="15"/>
      <c r="J203" s="15"/>
      <c r="K203" s="15"/>
    </row>
    <row r="204" spans="2:11">
      <c r="B204" s="59"/>
      <c r="C204" s="15"/>
      <c r="D204" s="15"/>
      <c r="E204" s="15"/>
      <c r="F204" s="15"/>
      <c r="G204" s="15"/>
      <c r="H204" s="15"/>
      <c r="I204" s="15"/>
      <c r="J204" s="15"/>
      <c r="K204" s="15"/>
    </row>
    <row r="205" spans="2:11">
      <c r="B205" s="59"/>
      <c r="C205" s="15"/>
      <c r="D205" s="15"/>
      <c r="E205" s="15"/>
      <c r="F205" s="15"/>
      <c r="G205" s="15"/>
      <c r="H205" s="15"/>
      <c r="I205" s="15"/>
      <c r="J205" s="15"/>
      <c r="K205" s="15"/>
    </row>
    <row r="206" spans="2:11">
      <c r="B206" s="59"/>
      <c r="C206" s="15"/>
      <c r="D206" s="15"/>
      <c r="E206" s="15"/>
      <c r="F206" s="15"/>
      <c r="G206" s="15"/>
      <c r="H206" s="15"/>
      <c r="I206" s="15"/>
      <c r="J206" s="15"/>
      <c r="K206" s="15"/>
    </row>
    <row r="207" spans="2:11">
      <c r="B207" s="59"/>
      <c r="C207" s="15"/>
      <c r="D207" s="15"/>
      <c r="E207" s="15"/>
      <c r="F207" s="15"/>
      <c r="G207" s="15"/>
      <c r="H207" s="15"/>
      <c r="I207" s="15"/>
      <c r="J207" s="15"/>
      <c r="K207" s="15"/>
    </row>
    <row r="208" spans="2:11">
      <c r="B208" s="59"/>
      <c r="C208" s="15"/>
      <c r="D208" s="15"/>
      <c r="E208" s="15"/>
      <c r="F208" s="15"/>
      <c r="G208" s="15"/>
      <c r="H208" s="15"/>
      <c r="I208" s="15"/>
      <c r="J208" s="15"/>
      <c r="K208" s="15"/>
    </row>
    <row r="209" spans="2:11">
      <c r="B209" s="59"/>
      <c r="C209" s="15"/>
      <c r="D209" s="15"/>
      <c r="E209" s="15"/>
      <c r="F209" s="15"/>
      <c r="G209" s="15"/>
      <c r="H209" s="15"/>
      <c r="I209" s="15"/>
      <c r="J209" s="15"/>
      <c r="K209" s="15"/>
    </row>
    <row r="210" spans="2:11">
      <c r="B210" s="59"/>
      <c r="C210" s="15"/>
      <c r="D210" s="15"/>
      <c r="E210" s="15"/>
      <c r="F210" s="15"/>
      <c r="G210" s="15"/>
      <c r="H210" s="15"/>
      <c r="I210" s="15"/>
      <c r="J210" s="15"/>
      <c r="K210" s="15"/>
    </row>
    <row r="211" spans="2:11" ht="14.25" customHeight="1">
      <c r="B211" s="59"/>
      <c r="C211" s="15"/>
      <c r="D211" s="15"/>
      <c r="E211" s="15"/>
      <c r="F211" s="15"/>
      <c r="G211" s="15"/>
      <c r="H211" s="15"/>
      <c r="I211" s="15"/>
      <c r="J211" s="15"/>
      <c r="K211" s="15"/>
    </row>
    <row r="212" spans="2:11" ht="12.75" customHeight="1">
      <c r="B212" s="59"/>
      <c r="C212" s="15"/>
      <c r="D212" s="15"/>
      <c r="E212" s="15"/>
      <c r="F212" s="15"/>
      <c r="G212" s="15"/>
      <c r="H212" s="15"/>
      <c r="I212" s="15"/>
      <c r="J212" s="15"/>
      <c r="K212" s="15"/>
    </row>
    <row r="213" spans="2:11" ht="12.75" customHeight="1">
      <c r="B213" s="59"/>
      <c r="C213" s="15"/>
      <c r="D213" s="15"/>
      <c r="E213" s="15"/>
      <c r="F213" s="15"/>
      <c r="G213" s="15"/>
      <c r="H213" s="15"/>
      <c r="I213" s="15"/>
      <c r="J213" s="15"/>
      <c r="K213" s="15"/>
    </row>
    <row r="214" spans="2:11" ht="12.75" customHeight="1">
      <c r="B214" s="59"/>
      <c r="C214" s="15"/>
      <c r="D214" s="15"/>
      <c r="E214" s="15"/>
      <c r="F214" s="15"/>
      <c r="G214" s="15"/>
      <c r="H214" s="15"/>
      <c r="I214" s="15"/>
      <c r="J214" s="15"/>
      <c r="K214" s="15"/>
    </row>
    <row r="215" spans="2:11" ht="12.75" customHeight="1">
      <c r="B215" s="59"/>
      <c r="C215" s="15"/>
      <c r="D215" s="15"/>
      <c r="E215" s="15"/>
      <c r="F215" s="15"/>
      <c r="G215" s="15"/>
      <c r="H215" s="15"/>
      <c r="I215" s="15"/>
      <c r="J215" s="15"/>
      <c r="K215" s="15"/>
    </row>
    <row r="216" spans="2:11" ht="12.75" customHeight="1">
      <c r="B216" s="59"/>
      <c r="C216" s="15"/>
      <c r="D216" s="15"/>
      <c r="E216" s="15"/>
      <c r="F216" s="15"/>
      <c r="G216" s="15"/>
      <c r="H216" s="15"/>
      <c r="I216" s="15"/>
      <c r="J216" s="15"/>
      <c r="K216" s="15"/>
    </row>
    <row r="217" spans="2:11" ht="12.75" customHeight="1">
      <c r="B217" s="59"/>
      <c r="C217" s="15"/>
      <c r="D217" s="15"/>
      <c r="E217" s="15"/>
      <c r="F217" s="15"/>
      <c r="G217" s="15"/>
      <c r="H217" s="15"/>
      <c r="I217" s="15"/>
      <c r="J217" s="15"/>
      <c r="K217" s="15"/>
    </row>
    <row r="218" spans="2:11" ht="12.75" customHeight="1">
      <c r="B218" s="59"/>
      <c r="C218" s="15"/>
      <c r="D218" s="15"/>
      <c r="E218" s="15"/>
      <c r="F218" s="15"/>
      <c r="G218" s="15"/>
      <c r="H218" s="15"/>
      <c r="I218" s="15"/>
      <c r="J218" s="15"/>
      <c r="K218" s="15"/>
    </row>
    <row r="219" spans="2:11" ht="12.75" customHeight="1">
      <c r="B219" s="59"/>
      <c r="C219" s="15"/>
      <c r="D219" s="15"/>
      <c r="E219" s="15"/>
      <c r="F219" s="15"/>
      <c r="G219" s="15"/>
      <c r="H219" s="15"/>
      <c r="I219" s="15"/>
      <c r="J219" s="15"/>
      <c r="K219" s="15"/>
    </row>
    <row r="220" spans="2:11" ht="12.75" customHeight="1">
      <c r="B220" s="59"/>
      <c r="C220" s="15"/>
      <c r="D220" s="15"/>
      <c r="E220" s="15"/>
      <c r="F220" s="15"/>
      <c r="G220" s="15"/>
      <c r="H220" s="15"/>
      <c r="I220" s="15"/>
      <c r="J220" s="15"/>
      <c r="K220" s="15"/>
    </row>
    <row r="221" spans="2:11" ht="12.75" customHeight="1">
      <c r="B221" s="59"/>
      <c r="C221" s="15"/>
      <c r="D221" s="15"/>
      <c r="E221" s="15"/>
      <c r="F221" s="15"/>
      <c r="G221" s="15"/>
      <c r="H221" s="15"/>
      <c r="I221" s="15"/>
      <c r="J221" s="15"/>
      <c r="K221" s="15"/>
    </row>
    <row r="222" spans="2:11" ht="12.75" customHeight="1">
      <c r="B222" s="59"/>
      <c r="C222" s="15"/>
      <c r="D222" s="15"/>
      <c r="E222" s="15"/>
      <c r="F222" s="15"/>
      <c r="G222" s="15"/>
      <c r="H222" s="15"/>
      <c r="I222" s="15"/>
      <c r="J222" s="15"/>
      <c r="K222" s="15"/>
    </row>
    <row r="223" spans="2:11" ht="12.75" customHeight="1">
      <c r="B223" s="59"/>
      <c r="C223" s="15"/>
      <c r="D223" s="15"/>
      <c r="E223" s="15"/>
      <c r="F223" s="15"/>
      <c r="G223" s="15"/>
      <c r="H223" s="15"/>
      <c r="I223" s="15"/>
      <c r="J223" s="15"/>
      <c r="K223" s="15"/>
    </row>
    <row r="224" spans="2:11" ht="12.75" customHeight="1">
      <c r="B224" s="59"/>
      <c r="C224" s="15"/>
      <c r="D224" s="15"/>
      <c r="E224" s="15"/>
      <c r="F224" s="15"/>
      <c r="G224" s="15"/>
      <c r="H224" s="15"/>
      <c r="I224" s="15"/>
      <c r="J224" s="15"/>
      <c r="K224" s="15"/>
    </row>
    <row r="225" spans="2:11" ht="12.75" customHeight="1">
      <c r="B225" s="59"/>
      <c r="C225" s="15"/>
      <c r="D225" s="15"/>
      <c r="E225" s="15"/>
      <c r="F225" s="15"/>
      <c r="G225" s="15"/>
      <c r="H225" s="15"/>
      <c r="I225" s="15"/>
      <c r="J225" s="15"/>
      <c r="K225" s="15"/>
    </row>
    <row r="226" spans="2:11" ht="12.75" customHeight="1">
      <c r="B226" s="59"/>
      <c r="C226" s="15"/>
      <c r="D226" s="15"/>
      <c r="E226" s="15"/>
      <c r="F226" s="15"/>
      <c r="G226" s="15"/>
      <c r="H226" s="15"/>
      <c r="I226" s="15"/>
      <c r="J226" s="15"/>
      <c r="K226" s="15"/>
    </row>
    <row r="227" spans="2:11">
      <c r="B227" s="59"/>
      <c r="C227" s="15"/>
      <c r="D227" s="15"/>
      <c r="E227" s="15"/>
      <c r="F227" s="15"/>
      <c r="G227" s="15"/>
      <c r="H227" s="15"/>
      <c r="I227" s="15"/>
      <c r="J227" s="15"/>
      <c r="K227" s="15"/>
    </row>
    <row r="228" spans="2:11">
      <c r="B228" s="59"/>
      <c r="C228" s="15"/>
      <c r="D228" s="15"/>
      <c r="E228" s="15"/>
      <c r="F228" s="15"/>
      <c r="G228" s="15"/>
      <c r="H228" s="15"/>
      <c r="I228" s="15"/>
      <c r="J228" s="15"/>
      <c r="K228" s="15"/>
    </row>
    <row r="229" spans="2:11">
      <c r="B229" s="59"/>
      <c r="C229" s="15"/>
      <c r="D229" s="15"/>
      <c r="E229" s="15"/>
      <c r="F229" s="15"/>
      <c r="G229" s="15"/>
      <c r="H229" s="15"/>
      <c r="I229" s="15"/>
      <c r="J229" s="15"/>
      <c r="K229" s="15"/>
    </row>
    <row r="230" spans="2:11">
      <c r="B230" s="59"/>
      <c r="C230" s="15"/>
      <c r="D230" s="15"/>
      <c r="E230" s="15"/>
      <c r="F230" s="15"/>
      <c r="G230" s="15"/>
      <c r="H230" s="15"/>
      <c r="I230" s="15"/>
      <c r="J230" s="15"/>
      <c r="K230" s="15"/>
    </row>
    <row r="231" spans="2:11">
      <c r="B231" s="59"/>
      <c r="C231" s="15"/>
      <c r="D231" s="15"/>
      <c r="E231" s="15"/>
      <c r="F231" s="15"/>
      <c r="G231" s="15"/>
      <c r="H231" s="15"/>
      <c r="I231" s="15"/>
      <c r="J231" s="15"/>
      <c r="K231" s="15"/>
    </row>
    <row r="232" spans="2:11">
      <c r="B232" s="59"/>
      <c r="C232" s="15"/>
      <c r="D232" s="15"/>
      <c r="E232" s="15"/>
      <c r="F232" s="15"/>
      <c r="G232" s="15"/>
      <c r="H232" s="15"/>
      <c r="I232" s="15"/>
      <c r="J232" s="15"/>
      <c r="K232" s="15"/>
    </row>
    <row r="233" spans="2:11">
      <c r="B233" s="59"/>
      <c r="C233" s="15"/>
      <c r="D233" s="15"/>
      <c r="E233" s="15"/>
      <c r="F233" s="15"/>
      <c r="G233" s="15"/>
      <c r="H233" s="15"/>
      <c r="I233" s="15"/>
      <c r="J233" s="15"/>
      <c r="K233" s="15"/>
    </row>
    <row r="234" spans="2:11">
      <c r="B234" s="59"/>
      <c r="C234" s="15"/>
      <c r="D234" s="15"/>
      <c r="E234" s="15"/>
      <c r="F234" s="15"/>
      <c r="G234" s="15"/>
      <c r="H234" s="15"/>
      <c r="I234" s="15"/>
      <c r="J234" s="15"/>
      <c r="K234" s="15"/>
    </row>
    <row r="235" spans="2:11">
      <c r="B235" s="59"/>
      <c r="C235" s="15"/>
      <c r="D235" s="15"/>
      <c r="E235" s="15"/>
      <c r="F235" s="15"/>
      <c r="G235" s="15"/>
      <c r="H235" s="15"/>
      <c r="I235" s="15"/>
      <c r="J235" s="15"/>
      <c r="K235" s="15"/>
    </row>
    <row r="236" spans="2:11">
      <c r="B236" s="59"/>
      <c r="C236" s="15"/>
      <c r="D236" s="15"/>
      <c r="E236" s="15"/>
      <c r="F236" s="15"/>
      <c r="G236" s="15"/>
      <c r="H236" s="15"/>
      <c r="I236" s="15"/>
      <c r="J236" s="15"/>
      <c r="K236" s="15"/>
    </row>
    <row r="237" spans="2:11">
      <c r="B237" s="59"/>
      <c r="C237" s="15"/>
      <c r="D237" s="15"/>
      <c r="E237" s="15"/>
      <c r="F237" s="15"/>
      <c r="G237" s="15"/>
      <c r="H237" s="15"/>
      <c r="I237" s="15"/>
      <c r="J237" s="15"/>
      <c r="K237" s="15"/>
    </row>
    <row r="238" spans="2:11">
      <c r="B238" s="59"/>
      <c r="C238" s="15"/>
      <c r="D238" s="15"/>
      <c r="E238" s="15"/>
      <c r="F238" s="15"/>
      <c r="G238" s="15"/>
      <c r="H238" s="15"/>
      <c r="I238" s="15"/>
      <c r="J238" s="15"/>
      <c r="K238" s="15"/>
    </row>
    <row r="239" spans="2:11">
      <c r="B239" s="59"/>
      <c r="C239" s="15"/>
      <c r="D239" s="15"/>
      <c r="E239" s="15"/>
      <c r="F239" s="15"/>
      <c r="G239" s="15"/>
      <c r="H239" s="15"/>
      <c r="I239" s="15"/>
      <c r="J239" s="15"/>
      <c r="K239" s="15"/>
    </row>
    <row r="240" spans="2:11">
      <c r="B240" s="59"/>
      <c r="C240" s="15"/>
      <c r="D240" s="15"/>
      <c r="E240" s="15"/>
      <c r="F240" s="15"/>
      <c r="G240" s="15"/>
      <c r="H240" s="15"/>
      <c r="I240" s="15"/>
      <c r="J240" s="15"/>
      <c r="K240" s="15"/>
    </row>
    <row r="241" spans="2:11">
      <c r="B241" s="59"/>
      <c r="C241" s="15"/>
      <c r="D241" s="15"/>
      <c r="E241" s="15"/>
      <c r="F241" s="15"/>
      <c r="G241" s="15"/>
      <c r="H241" s="15"/>
      <c r="I241" s="15"/>
      <c r="J241" s="15"/>
      <c r="K241" s="15"/>
    </row>
    <row r="242" spans="2:11">
      <c r="B242" s="59"/>
      <c r="C242" s="15"/>
      <c r="D242" s="15"/>
      <c r="E242" s="15"/>
      <c r="F242" s="15"/>
      <c r="G242" s="15"/>
      <c r="H242" s="15"/>
      <c r="I242" s="15"/>
      <c r="J242" s="15"/>
      <c r="K242" s="15"/>
    </row>
    <row r="243" spans="2:11">
      <c r="B243" s="59"/>
      <c r="C243" s="15"/>
      <c r="D243" s="15"/>
      <c r="E243" s="15"/>
      <c r="F243" s="15"/>
      <c r="G243" s="15"/>
      <c r="H243" s="15"/>
      <c r="I243" s="15"/>
      <c r="J243" s="15"/>
      <c r="K243" s="15"/>
    </row>
    <row r="244" spans="2:11">
      <c r="B244" s="59"/>
      <c r="C244" s="15"/>
      <c r="D244" s="15"/>
      <c r="E244" s="15"/>
      <c r="F244" s="15"/>
      <c r="G244" s="15"/>
      <c r="H244" s="15"/>
      <c r="I244" s="15"/>
      <c r="J244" s="15"/>
      <c r="K244"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256"/>
  <sheetViews>
    <sheetView topLeftCell="A76" zoomScale="81" zoomScaleNormal="81" zoomScaleSheetLayoutView="100" zoomScalePageLayoutView="80" workbookViewId="0">
      <selection activeCell="H76" sqref="H76"/>
    </sheetView>
  </sheetViews>
  <sheetFormatPr defaultColWidth="8.85546875" defaultRowHeight="12.75"/>
  <cols>
    <col min="1" max="2" width="1.7109375" style="1023" customWidth="1"/>
    <col min="3" max="3" width="11.5703125" style="1023" customWidth="1"/>
    <col min="4" max="4" width="1.7109375" style="1051" customWidth="1"/>
    <col min="5" max="5" width="11" style="1023" customWidth="1"/>
    <col min="6" max="6" width="1.5703125" style="1023" customWidth="1"/>
    <col min="7" max="7" width="54.7109375" style="1023" customWidth="1"/>
    <col min="8" max="8" width="17.28515625" style="1052" bestFit="1" customWidth="1"/>
    <col min="9" max="9" width="12.42578125" style="1023" customWidth="1"/>
    <col min="10" max="10" width="13.7109375" style="1023" customWidth="1"/>
    <col min="11" max="11" width="14.85546875" style="1023" customWidth="1"/>
    <col min="12" max="12" width="14.42578125" style="1023" customWidth="1"/>
    <col min="13" max="14" width="13.7109375" style="1023" customWidth="1"/>
    <col min="15" max="16384" width="8.85546875" style="1023"/>
  </cols>
  <sheetData>
    <row r="1" spans="1:24" ht="15">
      <c r="A1" s="1050"/>
    </row>
    <row r="2" spans="1:24" ht="20.25">
      <c r="A2" s="1053"/>
      <c r="B2" s="1054"/>
      <c r="D2" s="1023"/>
      <c r="I2" s="1033"/>
      <c r="J2" s="1033"/>
      <c r="K2" s="1033"/>
      <c r="L2" s="1033"/>
      <c r="M2" s="1033"/>
      <c r="N2" s="1055"/>
    </row>
    <row r="3" spans="1:24" ht="20.25" customHeight="1">
      <c r="A3" s="1055"/>
      <c r="B3" s="1056"/>
      <c r="C3" s="2455" t="str">
        <f>+'PSO TCOS'!F4</f>
        <v xml:space="preserve">AEP West SPP Member Operating Companies </v>
      </c>
      <c r="D3" s="2455"/>
      <c r="E3" s="2455"/>
      <c r="F3" s="2455"/>
      <c r="G3" s="2455"/>
      <c r="H3" s="2455"/>
      <c r="I3" s="2455"/>
      <c r="J3" s="2455"/>
      <c r="K3" s="2455"/>
      <c r="L3" s="2455"/>
      <c r="M3" s="2455"/>
      <c r="N3" s="2455"/>
    </row>
    <row r="4" spans="1:24" ht="20.25" customHeight="1">
      <c r="C4" s="2458" t="str">
        <f>+'PSO TCOS'!F8</f>
        <v>PUBLIC SERVICE COMPANY OF OKLAHOMA</v>
      </c>
      <c r="D4" s="2458"/>
      <c r="E4" s="2458"/>
      <c r="F4" s="2458"/>
      <c r="G4" s="2458"/>
      <c r="H4" s="2458"/>
      <c r="I4" s="2458"/>
      <c r="J4" s="2458"/>
      <c r="K4" s="2458"/>
      <c r="L4" s="2458"/>
      <c r="M4" s="2458"/>
      <c r="N4" s="2458"/>
    </row>
    <row r="5" spans="1:24" ht="22.5" customHeight="1">
      <c r="C5" s="2458" t="s">
        <v>886</v>
      </c>
      <c r="D5" s="2458"/>
      <c r="E5" s="2458"/>
      <c r="F5" s="2458"/>
      <c r="G5" s="2458"/>
      <c r="H5" s="2458"/>
      <c r="I5" s="2458"/>
      <c r="J5" s="2458"/>
      <c r="K5" s="2458"/>
      <c r="L5" s="2458"/>
      <c r="M5" s="2458"/>
      <c r="N5" s="2458"/>
    </row>
    <row r="6" spans="1:24" ht="18" customHeight="1">
      <c r="C6" s="2459" t="str">
        <f>"AS OF DECEMBER 31, "&amp;'PSO TCOS'!N2</f>
        <v>AS OF DECEMBER 31, 2018</v>
      </c>
      <c r="D6" s="2459"/>
      <c r="E6" s="2459"/>
      <c r="F6" s="2459"/>
      <c r="G6" s="2459"/>
      <c r="H6" s="2459"/>
      <c r="I6" s="2459"/>
      <c r="J6" s="2459"/>
      <c r="K6" s="2459"/>
      <c r="L6" s="2459"/>
      <c r="M6" s="2459"/>
      <c r="N6" s="2459"/>
    </row>
    <row r="7" spans="1:24">
      <c r="D7" s="1023"/>
    </row>
    <row r="8" spans="1:24">
      <c r="D8" s="1023"/>
      <c r="J8" s="2457" t="s">
        <v>154</v>
      </c>
      <c r="K8" s="2457"/>
      <c r="L8" s="2457"/>
      <c r="M8" s="2457"/>
      <c r="N8" s="2457"/>
    </row>
    <row r="9" spans="1:24" ht="25.5">
      <c r="C9" s="1057" t="s">
        <v>392</v>
      </c>
      <c r="D9" s="1058"/>
      <c r="E9" s="1057" t="s">
        <v>155</v>
      </c>
      <c r="G9" s="1057" t="s">
        <v>308</v>
      </c>
      <c r="H9" s="1059" t="s">
        <v>318</v>
      </c>
      <c r="I9" s="1060" t="s">
        <v>85</v>
      </c>
      <c r="J9" s="1060" t="s">
        <v>156</v>
      </c>
      <c r="K9" s="1060" t="s">
        <v>157</v>
      </c>
      <c r="L9" s="1057" t="s">
        <v>158</v>
      </c>
      <c r="M9" s="1057" t="s">
        <v>159</v>
      </c>
      <c r="N9" s="1057" t="s">
        <v>302</v>
      </c>
    </row>
    <row r="11" spans="1:24">
      <c r="C11" s="1061" t="s">
        <v>619</v>
      </c>
      <c r="D11" s="1062" t="s">
        <v>339</v>
      </c>
      <c r="E11" s="1063" t="s">
        <v>1022</v>
      </c>
      <c r="F11" s="1064"/>
      <c r="G11" s="1063" t="s">
        <v>1023</v>
      </c>
      <c r="H11" s="1065">
        <v>-111671196</v>
      </c>
      <c r="I11" s="1066" t="s">
        <v>160</v>
      </c>
      <c r="J11" s="1067" t="str">
        <f t="shared" ref="J11:J42" si="0">IF(I11="e",H11," ")</f>
        <v xml:space="preserve"> </v>
      </c>
      <c r="K11" s="1036" t="str">
        <f t="shared" ref="K11:K51" si="1">IF($I11="T",$H11," ")</f>
        <v xml:space="preserve"> </v>
      </c>
      <c r="L11" s="1036">
        <f t="shared" ref="L11:L51" si="2">IF($I11="PTD",$H11," ")</f>
        <v>-111671196</v>
      </c>
      <c r="M11" s="1067" t="str">
        <f t="shared" ref="M11:M51" si="3">IF($I11="T&amp;D",$H11," ")</f>
        <v xml:space="preserve"> </v>
      </c>
      <c r="N11" s="1067" t="str">
        <f t="shared" ref="N11:N42" si="4">IF(I11="Labor",H11," ")</f>
        <v xml:space="preserve"> </v>
      </c>
      <c r="P11" s="700"/>
      <c r="Q11" s="700"/>
      <c r="R11" s="700"/>
      <c r="S11" s="700"/>
      <c r="T11" s="700"/>
      <c r="U11" s="700"/>
      <c r="V11" s="700"/>
      <c r="W11" s="700"/>
      <c r="X11" s="700"/>
    </row>
    <row r="12" spans="1:24">
      <c r="C12" s="1061" t="s">
        <v>619</v>
      </c>
      <c r="D12" s="1062" t="s">
        <v>339</v>
      </c>
      <c r="E12" s="1063" t="s">
        <v>803</v>
      </c>
      <c r="F12" s="1064"/>
      <c r="G12" s="1063" t="s">
        <v>1287</v>
      </c>
      <c r="H12" s="1065">
        <v>-319442926.51000005</v>
      </c>
      <c r="I12" s="1066" t="s">
        <v>160</v>
      </c>
      <c r="J12" s="1067" t="str">
        <f>IF(I12="e",H12," ")</f>
        <v xml:space="preserve"> </v>
      </c>
      <c r="K12" s="1036" t="str">
        <f t="shared" si="1"/>
        <v xml:space="preserve"> </v>
      </c>
      <c r="L12" s="1036">
        <f t="shared" si="2"/>
        <v>-319442926.51000005</v>
      </c>
      <c r="M12" s="1067" t="str">
        <f t="shared" si="3"/>
        <v xml:space="preserve"> </v>
      </c>
      <c r="N12" s="1067" t="str">
        <f>IF(I12="Labor",H12," ")</f>
        <v xml:space="preserve"> </v>
      </c>
      <c r="P12" s="700"/>
      <c r="Q12" s="700"/>
      <c r="R12" s="700"/>
      <c r="S12" s="700"/>
      <c r="T12" s="700"/>
      <c r="U12" s="700"/>
      <c r="V12" s="700"/>
      <c r="W12" s="700"/>
      <c r="X12" s="700"/>
    </row>
    <row r="13" spans="1:24">
      <c r="C13" s="1061" t="s">
        <v>619</v>
      </c>
      <c r="D13" s="1062" t="s">
        <v>339</v>
      </c>
      <c r="E13" s="1063" t="s">
        <v>804</v>
      </c>
      <c r="F13" s="1064"/>
      <c r="G13" s="1063" t="s">
        <v>620</v>
      </c>
      <c r="H13" s="1065">
        <v>0</v>
      </c>
      <c r="I13" s="1066" t="s">
        <v>160</v>
      </c>
      <c r="J13" s="1067" t="str">
        <f>IF(I13="e",H13," ")</f>
        <v xml:space="preserve"> </v>
      </c>
      <c r="K13" s="1036" t="str">
        <f t="shared" si="1"/>
        <v xml:space="preserve"> </v>
      </c>
      <c r="L13" s="1036">
        <f t="shared" si="2"/>
        <v>0</v>
      </c>
      <c r="M13" s="1067" t="str">
        <f t="shared" si="3"/>
        <v xml:space="preserve"> </v>
      </c>
      <c r="N13" s="1067" t="str">
        <f>IF(I13="Labor",H13," ")</f>
        <v xml:space="preserve"> </v>
      </c>
      <c r="P13" s="700"/>
      <c r="Q13" s="700"/>
      <c r="R13" s="700"/>
      <c r="S13" s="700"/>
      <c r="T13" s="700"/>
      <c r="U13" s="700"/>
      <c r="V13" s="700"/>
      <c r="W13" s="700"/>
      <c r="X13" s="700"/>
    </row>
    <row r="14" spans="1:24">
      <c r="C14" s="1061" t="s">
        <v>619</v>
      </c>
      <c r="D14" s="1062" t="s">
        <v>339</v>
      </c>
      <c r="E14" s="1063" t="s">
        <v>1024</v>
      </c>
      <c r="F14" s="1064"/>
      <c r="G14" s="1063" t="s">
        <v>1025</v>
      </c>
      <c r="H14" s="1065">
        <v>-10168602.6</v>
      </c>
      <c r="I14" s="1066" t="s">
        <v>160</v>
      </c>
      <c r="J14" s="1067" t="str">
        <f t="shared" si="0"/>
        <v xml:space="preserve"> </v>
      </c>
      <c r="K14" s="1036" t="str">
        <f t="shared" si="1"/>
        <v xml:space="preserve"> </v>
      </c>
      <c r="L14" s="1036">
        <f t="shared" si="2"/>
        <v>-10168602.6</v>
      </c>
      <c r="M14" s="1067" t="str">
        <f t="shared" si="3"/>
        <v xml:space="preserve"> </v>
      </c>
      <c r="N14" s="1067" t="str">
        <f t="shared" si="4"/>
        <v xml:space="preserve"> </v>
      </c>
    </row>
    <row r="15" spans="1:24">
      <c r="C15" s="1061" t="s">
        <v>619</v>
      </c>
      <c r="D15" s="1062" t="s">
        <v>339</v>
      </c>
      <c r="E15" s="1063" t="s">
        <v>805</v>
      </c>
      <c r="F15" s="1064"/>
      <c r="G15" s="1063" t="s">
        <v>621</v>
      </c>
      <c r="H15" s="1065">
        <v>-754633.53</v>
      </c>
      <c r="I15" s="1066" t="s">
        <v>160</v>
      </c>
      <c r="J15" s="1067" t="str">
        <f t="shared" si="0"/>
        <v xml:space="preserve"> </v>
      </c>
      <c r="K15" s="1036" t="str">
        <f t="shared" si="1"/>
        <v xml:space="preserve"> </v>
      </c>
      <c r="L15" s="1036">
        <f t="shared" si="2"/>
        <v>-754633.53</v>
      </c>
      <c r="M15" s="1067" t="str">
        <f t="shared" si="3"/>
        <v xml:space="preserve"> </v>
      </c>
      <c r="N15" s="1067" t="str">
        <f t="shared" si="4"/>
        <v xml:space="preserve"> </v>
      </c>
    </row>
    <row r="16" spans="1:24">
      <c r="C16" s="1061" t="s">
        <v>619</v>
      </c>
      <c r="D16" s="1062"/>
      <c r="E16" s="1063" t="s">
        <v>806</v>
      </c>
      <c r="F16" s="1064"/>
      <c r="G16" s="1063" t="s">
        <v>622</v>
      </c>
      <c r="H16" s="1065">
        <v>55574.82</v>
      </c>
      <c r="I16" s="1066" t="s">
        <v>160</v>
      </c>
      <c r="J16" s="1067" t="str">
        <f>IF(I16="e",H16," ")</f>
        <v xml:space="preserve"> </v>
      </c>
      <c r="K16" s="1036" t="str">
        <f t="shared" si="1"/>
        <v xml:space="preserve"> </v>
      </c>
      <c r="L16" s="1036">
        <f t="shared" si="2"/>
        <v>55574.82</v>
      </c>
      <c r="M16" s="1067" t="str">
        <f t="shared" si="3"/>
        <v xml:space="preserve"> </v>
      </c>
      <c r="N16" s="1067" t="str">
        <f>IF(I16="Labor",H16," ")</f>
        <v xml:space="preserve"> </v>
      </c>
    </row>
    <row r="17" spans="3:14">
      <c r="C17" s="1061" t="s">
        <v>619</v>
      </c>
      <c r="D17" s="1062"/>
      <c r="E17" s="1063" t="s">
        <v>807</v>
      </c>
      <c r="F17" s="1064"/>
      <c r="G17" s="1063" t="s">
        <v>623</v>
      </c>
      <c r="H17" s="1065">
        <v>-2232364.4700000002</v>
      </c>
      <c r="I17" s="1066" t="s">
        <v>160</v>
      </c>
      <c r="J17" s="1067" t="str">
        <f>IF(I17="e",H17," ")</f>
        <v xml:space="preserve"> </v>
      </c>
      <c r="K17" s="1036" t="str">
        <f t="shared" si="1"/>
        <v xml:space="preserve"> </v>
      </c>
      <c r="L17" s="1036">
        <f t="shared" si="2"/>
        <v>-2232364.4700000002</v>
      </c>
      <c r="M17" s="1067" t="str">
        <f t="shared" si="3"/>
        <v xml:space="preserve"> </v>
      </c>
      <c r="N17" s="1067" t="str">
        <f>IF(I17="Labor",H17," ")</f>
        <v xml:space="preserve"> </v>
      </c>
    </row>
    <row r="18" spans="3:14">
      <c r="C18" s="1061" t="s">
        <v>619</v>
      </c>
      <c r="D18" s="1062"/>
      <c r="E18" s="1063" t="s">
        <v>808</v>
      </c>
      <c r="F18" s="1064"/>
      <c r="G18" s="1063" t="s">
        <v>626</v>
      </c>
      <c r="H18" s="1065">
        <v>-3011854.5200000005</v>
      </c>
      <c r="I18" s="1066" t="s">
        <v>293</v>
      </c>
      <c r="J18" s="1067">
        <f>IF(I18="e",H18," ")</f>
        <v>-3011854.5200000005</v>
      </c>
      <c r="K18" s="1036" t="str">
        <f t="shared" si="1"/>
        <v xml:space="preserve"> </v>
      </c>
      <c r="L18" s="1036" t="str">
        <f t="shared" si="2"/>
        <v xml:space="preserve"> </v>
      </c>
      <c r="M18" s="1067" t="str">
        <f t="shared" si="3"/>
        <v xml:space="preserve"> </v>
      </c>
      <c r="N18" s="1067" t="str">
        <f>IF(I18="Labor",H18," ")</f>
        <v xml:space="preserve"> </v>
      </c>
    </row>
    <row r="19" spans="3:14">
      <c r="C19" s="1061" t="s">
        <v>619</v>
      </c>
      <c r="D19" s="1062" t="s">
        <v>339</v>
      </c>
      <c r="E19" s="1063" t="s">
        <v>809</v>
      </c>
      <c r="F19" s="1064"/>
      <c r="G19" s="1063" t="s">
        <v>627</v>
      </c>
      <c r="H19" s="1065">
        <v>-1011827.3699999999</v>
      </c>
      <c r="I19" s="1066" t="s">
        <v>160</v>
      </c>
      <c r="J19" s="1067" t="str">
        <f t="shared" si="0"/>
        <v xml:space="preserve"> </v>
      </c>
      <c r="K19" s="1036" t="str">
        <f t="shared" si="1"/>
        <v xml:space="preserve"> </v>
      </c>
      <c r="L19" s="1036">
        <f t="shared" si="2"/>
        <v>-1011827.3699999999</v>
      </c>
      <c r="M19" s="1067" t="str">
        <f t="shared" si="3"/>
        <v xml:space="preserve"> </v>
      </c>
      <c r="N19" s="1067" t="str">
        <f t="shared" si="4"/>
        <v xml:space="preserve"> </v>
      </c>
    </row>
    <row r="20" spans="3:14">
      <c r="C20" s="1061" t="s">
        <v>619</v>
      </c>
      <c r="D20" s="1062" t="s">
        <v>339</v>
      </c>
      <c r="E20" s="1063" t="s">
        <v>810</v>
      </c>
      <c r="F20" s="1064"/>
      <c r="G20" s="1063" t="s">
        <v>628</v>
      </c>
      <c r="H20" s="1065">
        <v>1877225.7099999997</v>
      </c>
      <c r="I20" s="1066" t="s">
        <v>160</v>
      </c>
      <c r="J20" s="1067" t="str">
        <f t="shared" si="0"/>
        <v xml:space="preserve"> </v>
      </c>
      <c r="K20" s="1036" t="str">
        <f t="shared" si="1"/>
        <v xml:space="preserve"> </v>
      </c>
      <c r="L20" s="1036">
        <f t="shared" si="2"/>
        <v>1877225.7099999997</v>
      </c>
      <c r="M20" s="1067" t="str">
        <f t="shared" si="3"/>
        <v xml:space="preserve"> </v>
      </c>
      <c r="N20" s="1067" t="str">
        <f t="shared" si="4"/>
        <v xml:space="preserve"> </v>
      </c>
    </row>
    <row r="21" spans="3:14">
      <c r="C21" s="1061" t="s">
        <v>619</v>
      </c>
      <c r="D21" s="1062" t="s">
        <v>339</v>
      </c>
      <c r="E21" s="1063" t="s">
        <v>811</v>
      </c>
      <c r="F21" s="1064"/>
      <c r="G21" s="1063" t="s">
        <v>629</v>
      </c>
      <c r="H21" s="1065">
        <v>-1730874.39</v>
      </c>
      <c r="I21" s="1066" t="s">
        <v>293</v>
      </c>
      <c r="J21" s="1067">
        <f>IF(I21="e",H21," ")</f>
        <v>-1730874.39</v>
      </c>
      <c r="K21" s="1036" t="str">
        <f t="shared" si="1"/>
        <v xml:space="preserve"> </v>
      </c>
      <c r="L21" s="1036" t="str">
        <f t="shared" si="2"/>
        <v xml:space="preserve"> </v>
      </c>
      <c r="M21" s="1067" t="str">
        <f t="shared" si="3"/>
        <v xml:space="preserve"> </v>
      </c>
      <c r="N21" s="1067" t="str">
        <f>IF(I21="Labor",H21," ")</f>
        <v xml:space="preserve"> </v>
      </c>
    </row>
    <row r="22" spans="3:14">
      <c r="C22" s="1061" t="s">
        <v>619</v>
      </c>
      <c r="D22" s="1062" t="s">
        <v>339</v>
      </c>
      <c r="E22" s="1063" t="s">
        <v>812</v>
      </c>
      <c r="F22" s="1064"/>
      <c r="G22" s="1063" t="s">
        <v>630</v>
      </c>
      <c r="H22" s="1065">
        <v>-6323239.5500000007</v>
      </c>
      <c r="I22" s="1066" t="s">
        <v>160</v>
      </c>
      <c r="J22" s="1067" t="str">
        <f>IF(I22="e",H22," ")</f>
        <v xml:space="preserve"> </v>
      </c>
      <c r="K22" s="1036" t="str">
        <f t="shared" si="1"/>
        <v xml:space="preserve"> </v>
      </c>
      <c r="L22" s="1036">
        <f t="shared" si="2"/>
        <v>-6323239.5500000007</v>
      </c>
      <c r="M22" s="1067" t="str">
        <f t="shared" si="3"/>
        <v xml:space="preserve"> </v>
      </c>
      <c r="N22" s="1067" t="str">
        <f>IF(I22="Labor",H22," ")</f>
        <v xml:space="preserve"> </v>
      </c>
    </row>
    <row r="23" spans="3:14">
      <c r="C23" s="1061" t="s">
        <v>619</v>
      </c>
      <c r="D23" s="1062" t="s">
        <v>339</v>
      </c>
      <c r="E23" s="1063" t="s">
        <v>813</v>
      </c>
      <c r="F23" s="1064"/>
      <c r="G23" s="1063" t="s">
        <v>631</v>
      </c>
      <c r="H23" s="1065">
        <v>11580562.040000003</v>
      </c>
      <c r="I23" s="1066" t="s">
        <v>160</v>
      </c>
      <c r="J23" s="1067" t="str">
        <f t="shared" si="0"/>
        <v xml:space="preserve"> </v>
      </c>
      <c r="K23" s="1036" t="str">
        <f t="shared" si="1"/>
        <v xml:space="preserve"> </v>
      </c>
      <c r="L23" s="1036">
        <f t="shared" si="2"/>
        <v>11580562.040000003</v>
      </c>
      <c r="M23" s="1067" t="str">
        <f t="shared" si="3"/>
        <v xml:space="preserve"> </v>
      </c>
      <c r="N23" s="1067" t="str">
        <f t="shared" si="4"/>
        <v xml:space="preserve"> </v>
      </c>
    </row>
    <row r="24" spans="3:14">
      <c r="C24" s="1061" t="s">
        <v>619</v>
      </c>
      <c r="D24" s="1062" t="s">
        <v>339</v>
      </c>
      <c r="E24" s="1063" t="s">
        <v>814</v>
      </c>
      <c r="F24" s="1064"/>
      <c r="G24" s="1063" t="s">
        <v>632</v>
      </c>
      <c r="H24" s="1065">
        <v>12048235.349999998</v>
      </c>
      <c r="I24" s="1066" t="s">
        <v>293</v>
      </c>
      <c r="J24" s="1067">
        <f t="shared" si="0"/>
        <v>12048235.349999998</v>
      </c>
      <c r="K24" s="1036" t="str">
        <f t="shared" si="1"/>
        <v xml:space="preserve"> </v>
      </c>
      <c r="L24" s="1036" t="str">
        <f t="shared" si="2"/>
        <v xml:space="preserve"> </v>
      </c>
      <c r="M24" s="1067" t="str">
        <f t="shared" si="3"/>
        <v xml:space="preserve"> </v>
      </c>
      <c r="N24" s="1067" t="str">
        <f t="shared" si="4"/>
        <v xml:space="preserve"> </v>
      </c>
    </row>
    <row r="25" spans="3:14">
      <c r="C25" s="1061" t="s">
        <v>619</v>
      </c>
      <c r="D25" s="1062" t="s">
        <v>339</v>
      </c>
      <c r="E25" s="1063" t="s">
        <v>815</v>
      </c>
      <c r="F25" s="1064"/>
      <c r="G25" s="1063" t="s">
        <v>633</v>
      </c>
      <c r="H25" s="1065">
        <v>-40006.199999999997</v>
      </c>
      <c r="I25" s="1066" t="s">
        <v>160</v>
      </c>
      <c r="J25" s="1067" t="str">
        <f t="shared" si="0"/>
        <v xml:space="preserve"> </v>
      </c>
      <c r="K25" s="1036" t="str">
        <f t="shared" si="1"/>
        <v xml:space="preserve"> </v>
      </c>
      <c r="L25" s="1036">
        <f t="shared" si="2"/>
        <v>-40006.199999999997</v>
      </c>
      <c r="M25" s="1067" t="str">
        <f t="shared" si="3"/>
        <v xml:space="preserve"> </v>
      </c>
      <c r="N25" s="1067" t="str">
        <f t="shared" si="4"/>
        <v xml:space="preserve"> </v>
      </c>
    </row>
    <row r="26" spans="3:14">
      <c r="C26" s="1061" t="s">
        <v>619</v>
      </c>
      <c r="D26" s="1062" t="s">
        <v>339</v>
      </c>
      <c r="E26" s="1063" t="s">
        <v>816</v>
      </c>
      <c r="F26" s="1064"/>
      <c r="G26" s="1063" t="s">
        <v>634</v>
      </c>
      <c r="H26" s="1065">
        <v>-13616608.710000001</v>
      </c>
      <c r="I26" s="1066" t="s">
        <v>160</v>
      </c>
      <c r="J26" s="1067" t="str">
        <f t="shared" si="0"/>
        <v xml:space="preserve"> </v>
      </c>
      <c r="K26" s="1036" t="str">
        <f t="shared" si="1"/>
        <v xml:space="preserve"> </v>
      </c>
      <c r="L26" s="1036">
        <f t="shared" si="2"/>
        <v>-13616608.710000001</v>
      </c>
      <c r="M26" s="1067" t="str">
        <f t="shared" si="3"/>
        <v xml:space="preserve"> </v>
      </c>
      <c r="N26" s="1067" t="str">
        <f t="shared" si="4"/>
        <v xml:space="preserve"> </v>
      </c>
    </row>
    <row r="27" spans="3:14">
      <c r="C27" s="1061" t="s">
        <v>619</v>
      </c>
      <c r="D27" s="1062" t="s">
        <v>339</v>
      </c>
      <c r="E27" s="1063" t="s">
        <v>817</v>
      </c>
      <c r="F27" s="1064"/>
      <c r="G27" s="1063" t="s">
        <v>635</v>
      </c>
      <c r="H27" s="1065">
        <v>-44965426.170000002</v>
      </c>
      <c r="I27" s="1066" t="s">
        <v>160</v>
      </c>
      <c r="J27" s="1067" t="str">
        <f t="shared" si="0"/>
        <v xml:space="preserve"> </v>
      </c>
      <c r="K27" s="1036" t="str">
        <f t="shared" si="1"/>
        <v xml:space="preserve"> </v>
      </c>
      <c r="L27" s="1036">
        <f t="shared" si="2"/>
        <v>-44965426.170000002</v>
      </c>
      <c r="M27" s="1067" t="str">
        <f t="shared" si="3"/>
        <v xml:space="preserve"> </v>
      </c>
      <c r="N27" s="1067" t="str">
        <f t="shared" si="4"/>
        <v xml:space="preserve"> </v>
      </c>
    </row>
    <row r="28" spans="3:14">
      <c r="C28" s="1061" t="s">
        <v>619</v>
      </c>
      <c r="D28" s="1062" t="s">
        <v>339</v>
      </c>
      <c r="E28" s="1063" t="s">
        <v>818</v>
      </c>
      <c r="F28" s="1064"/>
      <c r="G28" s="1063" t="s">
        <v>636</v>
      </c>
      <c r="H28" s="1065">
        <v>-27589366.769999996</v>
      </c>
      <c r="I28" s="1066" t="s">
        <v>160</v>
      </c>
      <c r="J28" s="1067" t="str">
        <f>IF(I28="e",H28," ")</f>
        <v xml:space="preserve"> </v>
      </c>
      <c r="K28" s="1036" t="str">
        <f t="shared" si="1"/>
        <v xml:space="preserve"> </v>
      </c>
      <c r="L28" s="1036">
        <f t="shared" si="2"/>
        <v>-27589366.769999996</v>
      </c>
      <c r="M28" s="1067" t="str">
        <f t="shared" si="3"/>
        <v xml:space="preserve"> </v>
      </c>
      <c r="N28" s="1067" t="str">
        <f>IF(I28="Labor",H28," ")</f>
        <v xml:space="preserve"> </v>
      </c>
    </row>
    <row r="29" spans="3:14">
      <c r="C29" s="1061" t="s">
        <v>619</v>
      </c>
      <c r="D29" s="1062"/>
      <c r="E29" s="1063" t="s">
        <v>1400</v>
      </c>
      <c r="F29" s="1064"/>
      <c r="G29" s="1063" t="s">
        <v>1401</v>
      </c>
      <c r="H29" s="1065">
        <v>-1287972.5999999989</v>
      </c>
      <c r="I29" s="1066" t="s">
        <v>293</v>
      </c>
      <c r="J29" s="1067">
        <f>IF(I29="e",H29," ")</f>
        <v>-1287972.5999999989</v>
      </c>
      <c r="K29" s="1036" t="str">
        <f t="shared" si="1"/>
        <v xml:space="preserve"> </v>
      </c>
      <c r="L29" s="1036" t="str">
        <f t="shared" si="2"/>
        <v xml:space="preserve"> </v>
      </c>
      <c r="M29" s="1067" t="str">
        <f t="shared" si="3"/>
        <v xml:space="preserve"> </v>
      </c>
      <c r="N29" s="1067" t="str">
        <f>IF(I29="Labor",H29," ")</f>
        <v xml:space="preserve"> </v>
      </c>
    </row>
    <row r="30" spans="3:14">
      <c r="C30" s="1061" t="s">
        <v>619</v>
      </c>
      <c r="D30" s="1062" t="s">
        <v>339</v>
      </c>
      <c r="E30" s="1063" t="s">
        <v>819</v>
      </c>
      <c r="F30" s="1064"/>
      <c r="G30" s="1063" t="s">
        <v>637</v>
      </c>
      <c r="H30" s="1065">
        <v>-13524931.560000001</v>
      </c>
      <c r="I30" s="1066" t="s">
        <v>160</v>
      </c>
      <c r="J30" s="1067" t="str">
        <f>IF(I30="e",H30," ")</f>
        <v xml:space="preserve"> </v>
      </c>
      <c r="K30" s="1036" t="str">
        <f t="shared" si="1"/>
        <v xml:space="preserve"> </v>
      </c>
      <c r="L30" s="1036">
        <f t="shared" si="2"/>
        <v>-13524931.560000001</v>
      </c>
      <c r="M30" s="1067" t="str">
        <f t="shared" si="3"/>
        <v xml:space="preserve"> </v>
      </c>
      <c r="N30" s="1067" t="str">
        <f>IF(I30="Labor",H30," ")</f>
        <v xml:space="preserve"> </v>
      </c>
    </row>
    <row r="31" spans="3:14">
      <c r="C31" s="1061" t="s">
        <v>619</v>
      </c>
      <c r="D31" s="1062" t="s">
        <v>339</v>
      </c>
      <c r="E31" s="1063" t="s">
        <v>1026</v>
      </c>
      <c r="F31" s="1064"/>
      <c r="G31" s="1063" t="s">
        <v>1027</v>
      </c>
      <c r="H31" s="1065">
        <v>-106803</v>
      </c>
      <c r="I31" s="1066" t="s">
        <v>160</v>
      </c>
      <c r="J31" s="1067" t="str">
        <f t="shared" si="0"/>
        <v xml:space="preserve"> </v>
      </c>
      <c r="K31" s="1036" t="str">
        <f t="shared" si="1"/>
        <v xml:space="preserve"> </v>
      </c>
      <c r="L31" s="1036">
        <f t="shared" si="2"/>
        <v>-106803</v>
      </c>
      <c r="M31" s="1067" t="str">
        <f t="shared" si="3"/>
        <v xml:space="preserve"> </v>
      </c>
      <c r="N31" s="1067" t="str">
        <f t="shared" si="4"/>
        <v xml:space="preserve"> </v>
      </c>
    </row>
    <row r="32" spans="3:14">
      <c r="C32" s="1061" t="s">
        <v>619</v>
      </c>
      <c r="D32" s="1062" t="s">
        <v>339</v>
      </c>
      <c r="E32" s="1063" t="s">
        <v>820</v>
      </c>
      <c r="F32" s="1064"/>
      <c r="G32" s="1063" t="s">
        <v>639</v>
      </c>
      <c r="H32" s="1065">
        <v>3241027.2</v>
      </c>
      <c r="I32" s="1066" t="s">
        <v>293</v>
      </c>
      <c r="J32" s="1067">
        <f>IF(I32="e",H32," ")</f>
        <v>3241027.2</v>
      </c>
      <c r="K32" s="1036" t="str">
        <f t="shared" si="1"/>
        <v xml:space="preserve"> </v>
      </c>
      <c r="L32" s="1036" t="str">
        <f t="shared" si="2"/>
        <v xml:space="preserve"> </v>
      </c>
      <c r="M32" s="1067" t="str">
        <f t="shared" si="3"/>
        <v xml:space="preserve"> </v>
      </c>
      <c r="N32" s="1067" t="str">
        <f>IF(I32="Labor",H32," ")</f>
        <v xml:space="preserve"> </v>
      </c>
    </row>
    <row r="33" spans="3:15">
      <c r="C33" s="1061" t="s">
        <v>619</v>
      </c>
      <c r="D33" s="1062" t="s">
        <v>339</v>
      </c>
      <c r="E33" s="1063" t="s">
        <v>772</v>
      </c>
      <c r="F33" s="1064"/>
      <c r="G33" s="1063" t="s">
        <v>773</v>
      </c>
      <c r="H33" s="1065">
        <v>30622.12</v>
      </c>
      <c r="I33" s="1066" t="s">
        <v>293</v>
      </c>
      <c r="J33" s="1067">
        <f t="shared" si="0"/>
        <v>30622.12</v>
      </c>
      <c r="K33" s="1036" t="str">
        <f t="shared" si="1"/>
        <v xml:space="preserve"> </v>
      </c>
      <c r="L33" s="1036" t="str">
        <f t="shared" si="2"/>
        <v xml:space="preserve"> </v>
      </c>
      <c r="M33" s="1067" t="str">
        <f t="shared" si="3"/>
        <v xml:space="preserve"> </v>
      </c>
      <c r="N33" s="1067" t="str">
        <f t="shared" si="4"/>
        <v xml:space="preserve"> </v>
      </c>
    </row>
    <row r="34" spans="3:15">
      <c r="C34" s="1061" t="s">
        <v>619</v>
      </c>
      <c r="D34" s="1062" t="s">
        <v>339</v>
      </c>
      <c r="E34" s="1063" t="s">
        <v>1028</v>
      </c>
      <c r="F34" s="1064"/>
      <c r="G34" s="1063" t="s">
        <v>1029</v>
      </c>
      <c r="H34" s="1065">
        <v>19092.03</v>
      </c>
      <c r="I34" s="1066" t="s">
        <v>293</v>
      </c>
      <c r="J34" s="1067">
        <f>IF(I34="e",H34," ")</f>
        <v>19092.03</v>
      </c>
      <c r="K34" s="1036" t="str">
        <f t="shared" si="1"/>
        <v xml:space="preserve"> </v>
      </c>
      <c r="L34" s="1036" t="str">
        <f t="shared" si="2"/>
        <v xml:space="preserve"> </v>
      </c>
      <c r="M34" s="1067" t="str">
        <f t="shared" si="3"/>
        <v xml:space="preserve"> </v>
      </c>
      <c r="N34" s="1067" t="str">
        <f>IF(I34="Labor",H34," ")</f>
        <v xml:space="preserve"> </v>
      </c>
    </row>
    <row r="35" spans="3:15">
      <c r="C35" s="1061" t="s">
        <v>619</v>
      </c>
      <c r="D35" s="1062" t="s">
        <v>339</v>
      </c>
      <c r="E35" s="1063" t="s">
        <v>1030</v>
      </c>
      <c r="F35" s="1064"/>
      <c r="G35" s="1063" t="s">
        <v>1031</v>
      </c>
      <c r="H35" s="1065">
        <v>80503.110000000015</v>
      </c>
      <c r="I35" s="1066" t="s">
        <v>293</v>
      </c>
      <c r="J35" s="1067">
        <f>IF(I35="e",H35," ")</f>
        <v>80503.110000000015</v>
      </c>
      <c r="K35" s="1036" t="str">
        <f t="shared" si="1"/>
        <v xml:space="preserve"> </v>
      </c>
      <c r="L35" s="1036" t="str">
        <f t="shared" si="2"/>
        <v xml:space="preserve"> </v>
      </c>
      <c r="M35" s="1067" t="str">
        <f t="shared" si="3"/>
        <v xml:space="preserve"> </v>
      </c>
      <c r="N35" s="1067" t="str">
        <f>IF(I35="Labor",H35," ")</f>
        <v xml:space="preserve"> </v>
      </c>
    </row>
    <row r="36" spans="3:15">
      <c r="C36" s="1061" t="s">
        <v>619</v>
      </c>
      <c r="D36" s="1062" t="s">
        <v>339</v>
      </c>
      <c r="E36" s="1063" t="s">
        <v>1032</v>
      </c>
      <c r="F36" s="1064"/>
      <c r="G36" s="1063" t="s">
        <v>1033</v>
      </c>
      <c r="H36" s="1065">
        <v>90473.389999999985</v>
      </c>
      <c r="I36" s="1066" t="s">
        <v>293</v>
      </c>
      <c r="J36" s="1067">
        <f>IF(I36="e",H36," ")</f>
        <v>90473.389999999985</v>
      </c>
      <c r="K36" s="1036" t="str">
        <f t="shared" si="1"/>
        <v xml:space="preserve"> </v>
      </c>
      <c r="L36" s="1036" t="str">
        <f t="shared" si="2"/>
        <v xml:space="preserve"> </v>
      </c>
      <c r="M36" s="1067" t="str">
        <f t="shared" si="3"/>
        <v xml:space="preserve"> </v>
      </c>
      <c r="N36" s="1067" t="str">
        <f>IF(I36="Labor",H36," ")</f>
        <v xml:space="preserve"> </v>
      </c>
    </row>
    <row r="37" spans="3:15">
      <c r="C37" s="1061" t="s">
        <v>619</v>
      </c>
      <c r="D37" s="1062" t="s">
        <v>339</v>
      </c>
      <c r="E37" s="1063" t="s">
        <v>821</v>
      </c>
      <c r="F37" s="1064"/>
      <c r="G37" s="1063" t="s">
        <v>644</v>
      </c>
      <c r="H37" s="1065">
        <v>2228.73</v>
      </c>
      <c r="I37" s="1066" t="s">
        <v>302</v>
      </c>
      <c r="J37" s="1067" t="str">
        <f t="shared" si="0"/>
        <v xml:space="preserve"> </v>
      </c>
      <c r="K37" s="1036" t="str">
        <f t="shared" si="1"/>
        <v xml:space="preserve"> </v>
      </c>
      <c r="L37" s="1036" t="str">
        <f t="shared" si="2"/>
        <v xml:space="preserve"> </v>
      </c>
      <c r="M37" s="1067" t="str">
        <f t="shared" si="3"/>
        <v xml:space="preserve"> </v>
      </c>
      <c r="N37" s="1067">
        <f t="shared" si="4"/>
        <v>2228.73</v>
      </c>
    </row>
    <row r="38" spans="3:15">
      <c r="C38" s="1061" t="s">
        <v>619</v>
      </c>
      <c r="D38" s="1062" t="s">
        <v>339</v>
      </c>
      <c r="E38" s="1063" t="s">
        <v>822</v>
      </c>
      <c r="F38" s="1064"/>
      <c r="G38" s="1063" t="s">
        <v>645</v>
      </c>
      <c r="H38" s="1065">
        <v>-192688.44999999995</v>
      </c>
      <c r="I38" s="1066" t="s">
        <v>160</v>
      </c>
      <c r="J38" s="1067" t="str">
        <f t="shared" si="0"/>
        <v xml:space="preserve"> </v>
      </c>
      <c r="K38" s="1036" t="str">
        <f t="shared" si="1"/>
        <v xml:space="preserve"> </v>
      </c>
      <c r="L38" s="1036">
        <f t="shared" si="2"/>
        <v>-192688.44999999995</v>
      </c>
      <c r="M38" s="1067" t="str">
        <f t="shared" si="3"/>
        <v xml:space="preserve"> </v>
      </c>
      <c r="N38" s="1067" t="str">
        <f t="shared" si="4"/>
        <v xml:space="preserve"> </v>
      </c>
    </row>
    <row r="39" spans="3:15">
      <c r="C39" s="1061" t="s">
        <v>619</v>
      </c>
      <c r="D39" s="1062" t="s">
        <v>339</v>
      </c>
      <c r="E39" s="1063" t="s">
        <v>823</v>
      </c>
      <c r="F39" s="1064"/>
      <c r="G39" s="1063" t="s">
        <v>646</v>
      </c>
      <c r="H39" s="1065">
        <v>-11901535.450000003</v>
      </c>
      <c r="I39" s="1066" t="s">
        <v>302</v>
      </c>
      <c r="J39" s="1067" t="str">
        <f t="shared" si="0"/>
        <v xml:space="preserve"> </v>
      </c>
      <c r="K39" s="1036" t="str">
        <f t="shared" si="1"/>
        <v xml:space="preserve"> </v>
      </c>
      <c r="L39" s="1036" t="str">
        <f t="shared" si="2"/>
        <v xml:space="preserve"> </v>
      </c>
      <c r="M39" s="1067" t="str">
        <f t="shared" si="3"/>
        <v xml:space="preserve"> </v>
      </c>
      <c r="N39" s="1067">
        <f t="shared" si="4"/>
        <v>-11901535.450000003</v>
      </c>
    </row>
    <row r="40" spans="3:15">
      <c r="C40" s="1061" t="s">
        <v>619</v>
      </c>
      <c r="D40" s="1062" t="s">
        <v>339</v>
      </c>
      <c r="E40" s="1063" t="s">
        <v>824</v>
      </c>
      <c r="F40" s="1064"/>
      <c r="G40" s="1063" t="s">
        <v>648</v>
      </c>
      <c r="H40" s="1065">
        <v>-69189924.870000005</v>
      </c>
      <c r="I40" s="1066" t="s">
        <v>160</v>
      </c>
      <c r="J40" s="1067" t="str">
        <f t="shared" si="0"/>
        <v xml:space="preserve"> </v>
      </c>
      <c r="K40" s="1036" t="str">
        <f t="shared" si="1"/>
        <v xml:space="preserve"> </v>
      </c>
      <c r="L40" s="1036">
        <f t="shared" si="2"/>
        <v>-69189924.870000005</v>
      </c>
      <c r="M40" s="1067" t="str">
        <f t="shared" si="3"/>
        <v xml:space="preserve"> </v>
      </c>
      <c r="N40" s="1067" t="str">
        <f t="shared" si="4"/>
        <v xml:space="preserve"> </v>
      </c>
    </row>
    <row r="41" spans="3:15">
      <c r="C41" s="1061" t="s">
        <v>619</v>
      </c>
      <c r="D41" s="1062" t="s">
        <v>339</v>
      </c>
      <c r="E41" s="1063" t="s">
        <v>1034</v>
      </c>
      <c r="F41" s="1064"/>
      <c r="G41" s="1063" t="s">
        <v>1035</v>
      </c>
      <c r="H41" s="1065">
        <v>8692056.5999999996</v>
      </c>
      <c r="I41" s="1066" t="s">
        <v>160</v>
      </c>
      <c r="J41" s="1067" t="str">
        <f>IF(I41="e",H41," ")</f>
        <v xml:space="preserve"> </v>
      </c>
      <c r="K41" s="1036" t="str">
        <f t="shared" si="1"/>
        <v xml:space="preserve"> </v>
      </c>
      <c r="L41" s="1036">
        <f t="shared" si="2"/>
        <v>8692056.5999999996</v>
      </c>
      <c r="M41" s="1067" t="str">
        <f t="shared" si="3"/>
        <v xml:space="preserve"> </v>
      </c>
      <c r="N41" s="1067" t="str">
        <f>IF(I41="Labor",H41," ")</f>
        <v xml:space="preserve"> </v>
      </c>
    </row>
    <row r="42" spans="3:15">
      <c r="C42" s="1061" t="s">
        <v>619</v>
      </c>
      <c r="D42" s="1062" t="s">
        <v>339</v>
      </c>
      <c r="E42" s="1063" t="s">
        <v>825</v>
      </c>
      <c r="F42" s="1064"/>
      <c r="G42" s="1063" t="s">
        <v>687</v>
      </c>
      <c r="H42" s="1065">
        <v>-1764153.36</v>
      </c>
      <c r="I42" s="1066" t="s">
        <v>293</v>
      </c>
      <c r="J42" s="1067">
        <f t="shared" si="0"/>
        <v>-1764153.36</v>
      </c>
      <c r="K42" s="1036" t="str">
        <f t="shared" si="1"/>
        <v xml:space="preserve"> </v>
      </c>
      <c r="L42" s="1036" t="str">
        <f t="shared" si="2"/>
        <v xml:space="preserve"> </v>
      </c>
      <c r="M42" s="1067" t="str">
        <f t="shared" si="3"/>
        <v xml:space="preserve"> </v>
      </c>
      <c r="N42" s="1067" t="str">
        <f t="shared" si="4"/>
        <v xml:space="preserve"> </v>
      </c>
    </row>
    <row r="43" spans="3:15">
      <c r="C43" s="1061" t="s">
        <v>619</v>
      </c>
      <c r="D43" s="1062" t="s">
        <v>339</v>
      </c>
      <c r="E43" s="1063" t="s">
        <v>1036</v>
      </c>
      <c r="F43" s="1064"/>
      <c r="G43" s="1063" t="s">
        <v>1037</v>
      </c>
      <c r="H43" s="1065">
        <v>386635.2</v>
      </c>
      <c r="I43" s="1066" t="s">
        <v>293</v>
      </c>
      <c r="J43" s="1067">
        <f>IF(I43="e",H43," ")</f>
        <v>386635.2</v>
      </c>
      <c r="K43" s="1036" t="str">
        <f t="shared" si="1"/>
        <v xml:space="preserve"> </v>
      </c>
      <c r="L43" s="1036" t="str">
        <f t="shared" si="2"/>
        <v xml:space="preserve"> </v>
      </c>
      <c r="M43" s="1067" t="str">
        <f t="shared" si="3"/>
        <v xml:space="preserve"> </v>
      </c>
      <c r="N43" s="1067" t="str">
        <f>IF(I43="Labor",H43," ")</f>
        <v xml:space="preserve"> </v>
      </c>
    </row>
    <row r="44" spans="3:15">
      <c r="C44" s="1061" t="s">
        <v>619</v>
      </c>
      <c r="D44" s="1062" t="s">
        <v>339</v>
      </c>
      <c r="E44" s="1063" t="s">
        <v>1038</v>
      </c>
      <c r="F44" s="1064"/>
      <c r="G44" s="1063" t="s">
        <v>1039</v>
      </c>
      <c r="H44" s="1065">
        <v>-81039</v>
      </c>
      <c r="I44" s="1066" t="s">
        <v>160</v>
      </c>
      <c r="J44" s="1067" t="str">
        <f t="shared" ref="J44:J51" si="5">IF(I44="e",H44," ")</f>
        <v xml:space="preserve"> </v>
      </c>
      <c r="K44" s="1036" t="str">
        <f t="shared" si="1"/>
        <v xml:space="preserve"> </v>
      </c>
      <c r="L44" s="1036">
        <f t="shared" si="2"/>
        <v>-81039</v>
      </c>
      <c r="M44" s="1067" t="str">
        <f t="shared" si="3"/>
        <v xml:space="preserve"> </v>
      </c>
      <c r="N44" s="1067" t="str">
        <f t="shared" ref="N44:N51" si="6">IF(I44="Labor",H44," ")</f>
        <v xml:space="preserve"> </v>
      </c>
      <c r="O44" s="1068"/>
    </row>
    <row r="45" spans="3:15">
      <c r="C45" s="1061" t="s">
        <v>619</v>
      </c>
      <c r="D45" s="1062"/>
      <c r="E45" s="1063" t="s">
        <v>826</v>
      </c>
      <c r="F45" s="1064"/>
      <c r="G45" s="1063" t="s">
        <v>1269</v>
      </c>
      <c r="H45" s="1065">
        <v>3316579.86</v>
      </c>
      <c r="I45" s="1066" t="s">
        <v>1271</v>
      </c>
      <c r="J45" s="1065"/>
      <c r="K45" s="1065"/>
      <c r="L45" s="1036"/>
      <c r="M45" s="1067"/>
      <c r="N45" s="1067"/>
      <c r="O45" s="1068"/>
    </row>
    <row r="46" spans="3:15">
      <c r="C46" s="1061" t="s">
        <v>619</v>
      </c>
      <c r="D46" s="1062"/>
      <c r="E46" s="1063" t="s">
        <v>826</v>
      </c>
      <c r="F46" s="1064"/>
      <c r="G46" s="1063" t="s">
        <v>1458</v>
      </c>
      <c r="H46" s="1065">
        <v>-336922833</v>
      </c>
      <c r="I46" s="1066" t="s">
        <v>1271</v>
      </c>
      <c r="J46" s="1065">
        <v>-270756646.13999999</v>
      </c>
      <c r="K46" s="1065">
        <v>-62849607</v>
      </c>
      <c r="L46" s="1036"/>
      <c r="M46" s="1067"/>
      <c r="N46" s="1067"/>
      <c r="O46" s="1068"/>
    </row>
    <row r="47" spans="3:15">
      <c r="C47" s="1061" t="s">
        <v>619</v>
      </c>
      <c r="D47" s="1062"/>
      <c r="E47" s="1063" t="s">
        <v>826</v>
      </c>
      <c r="F47" s="1064"/>
      <c r="G47" s="1063" t="s">
        <v>1270</v>
      </c>
      <c r="H47" s="1065">
        <v>0</v>
      </c>
      <c r="I47" s="1066" t="s">
        <v>1271</v>
      </c>
      <c r="J47" s="1065"/>
      <c r="K47" s="1065"/>
      <c r="L47" s="1036"/>
      <c r="M47" s="1067"/>
      <c r="N47" s="1067"/>
      <c r="O47" s="1068"/>
    </row>
    <row r="48" spans="3:15">
      <c r="C48" s="1061" t="s">
        <v>619</v>
      </c>
      <c r="D48" s="1062"/>
      <c r="E48" s="1063" t="s">
        <v>826</v>
      </c>
      <c r="F48" s="1064"/>
      <c r="G48" s="1063" t="s">
        <v>1459</v>
      </c>
      <c r="H48" s="1065">
        <v>-63159716</v>
      </c>
      <c r="I48" s="1066" t="s">
        <v>1271</v>
      </c>
      <c r="J48" s="1065">
        <v>-48177964.967629559</v>
      </c>
      <c r="K48" s="1065">
        <v>-14981751.032370439</v>
      </c>
      <c r="L48" s="1036"/>
      <c r="M48" s="1067"/>
      <c r="N48" s="1067"/>
      <c r="O48" s="1068"/>
    </row>
    <row r="49" spans="3:15">
      <c r="C49" s="1061" t="s">
        <v>619</v>
      </c>
      <c r="D49" s="1069"/>
      <c r="E49" s="1070" t="s">
        <v>1460</v>
      </c>
      <c r="G49" s="1063" t="s">
        <v>1398</v>
      </c>
      <c r="H49" s="1065">
        <v>0</v>
      </c>
      <c r="I49" s="1071"/>
      <c r="J49" s="1065"/>
      <c r="K49" s="1065"/>
      <c r="L49" s="1065"/>
      <c r="M49" s="1065"/>
      <c r="N49" s="1065"/>
      <c r="O49" s="1068"/>
    </row>
    <row r="50" spans="3:15">
      <c r="C50" s="1070"/>
      <c r="D50" s="1069"/>
      <c r="E50" s="1070"/>
      <c r="G50" s="1072"/>
      <c r="H50" s="1073"/>
      <c r="I50" s="1071"/>
      <c r="J50" s="1067" t="str">
        <f t="shared" si="5"/>
        <v xml:space="preserve"> </v>
      </c>
      <c r="K50" s="1036" t="str">
        <f t="shared" si="1"/>
        <v xml:space="preserve"> </v>
      </c>
      <c r="L50" s="1036" t="str">
        <f t="shared" si="2"/>
        <v xml:space="preserve"> </v>
      </c>
      <c r="M50" s="1067" t="str">
        <f t="shared" si="3"/>
        <v xml:space="preserve"> </v>
      </c>
      <c r="N50" s="1067" t="str">
        <f t="shared" si="6"/>
        <v xml:space="preserve"> </v>
      </c>
      <c r="O50" s="1068"/>
    </row>
    <row r="51" spans="3:15">
      <c r="C51" s="1074"/>
      <c r="D51" s="1075"/>
      <c r="E51" s="1074"/>
      <c r="G51" s="1074"/>
      <c r="H51" s="965"/>
      <c r="I51" s="1076"/>
      <c r="J51" s="1067" t="str">
        <f t="shared" si="5"/>
        <v xml:space="preserve"> </v>
      </c>
      <c r="K51" s="1036" t="str">
        <f t="shared" si="1"/>
        <v xml:space="preserve"> </v>
      </c>
      <c r="L51" s="1036" t="str">
        <f t="shared" si="2"/>
        <v xml:space="preserve"> </v>
      </c>
      <c r="M51" s="1067" t="str">
        <f t="shared" si="3"/>
        <v xml:space="preserve"> </v>
      </c>
      <c r="N51" s="1067" t="str">
        <f t="shared" si="6"/>
        <v xml:space="preserve"> </v>
      </c>
      <c r="O51" s="1068"/>
    </row>
    <row r="52" spans="3:15">
      <c r="C52" s="1058">
        <v>282.10000000000002</v>
      </c>
      <c r="D52" s="1023"/>
      <c r="G52" s="1077" t="s">
        <v>161</v>
      </c>
      <c r="H52" s="1078">
        <f>SUM(H11:H51)</f>
        <v>-999269707.91999996</v>
      </c>
      <c r="I52" s="1036"/>
      <c r="J52" s="1078">
        <f>SUM(J11:J51)</f>
        <v>-310832877.57762957</v>
      </c>
      <c r="K52" s="1078">
        <f>SUM(K11:K51)</f>
        <v>-77831358.032370433</v>
      </c>
      <c r="L52" s="1078">
        <f>SUM(L11:L51)</f>
        <v>-598706165.59000003</v>
      </c>
      <c r="M52" s="1078">
        <f>SUM(M11:M51)</f>
        <v>0</v>
      </c>
      <c r="N52" s="1078">
        <f>SUM(N11:N51)</f>
        <v>-11899306.720000003</v>
      </c>
      <c r="O52" s="1068"/>
    </row>
    <row r="53" spans="3:15" ht="25.5">
      <c r="G53" s="1079" t="s">
        <v>171</v>
      </c>
      <c r="H53" s="1073">
        <v>-999269708</v>
      </c>
      <c r="I53" s="1036"/>
      <c r="J53" s="1080"/>
      <c r="K53" s="1036"/>
      <c r="L53" s="1036"/>
      <c r="M53" s="1036"/>
      <c r="N53" s="1036"/>
    </row>
    <row r="54" spans="3:15">
      <c r="H54" s="1081"/>
      <c r="I54" s="1036"/>
      <c r="J54" s="1036"/>
      <c r="K54" s="1036"/>
      <c r="L54" s="1036"/>
      <c r="M54" s="1036"/>
      <c r="N54" s="1036"/>
    </row>
    <row r="55" spans="3:15">
      <c r="H55" s="1081"/>
      <c r="I55" s="1036"/>
      <c r="J55" s="1036"/>
      <c r="K55" s="1036"/>
      <c r="L55" s="1036"/>
      <c r="M55" s="1036"/>
      <c r="N55" s="1036"/>
    </row>
    <row r="56" spans="3:15">
      <c r="C56" s="1061" t="s">
        <v>650</v>
      </c>
      <c r="D56" s="1082" t="s">
        <v>339</v>
      </c>
      <c r="E56" s="1063" t="s">
        <v>1040</v>
      </c>
      <c r="F56" s="1064"/>
      <c r="G56" s="1063" t="s">
        <v>1041</v>
      </c>
      <c r="H56" s="1065">
        <v>-3779148.3299999987</v>
      </c>
      <c r="I56" s="1066" t="s">
        <v>293</v>
      </c>
      <c r="J56" s="1067">
        <f t="shared" ref="J56:J62" si="7">IF(I56="e",H56," ")</f>
        <v>-3779148.3299999987</v>
      </c>
      <c r="K56" s="1036" t="str">
        <f t="shared" ref="K56:K99" si="8">IF($I56="T",$H56," ")</f>
        <v xml:space="preserve"> </v>
      </c>
      <c r="L56" s="1036" t="str">
        <f t="shared" ref="L56:L99" si="9">IF($I56="PTD",$H56," ")</f>
        <v xml:space="preserve"> </v>
      </c>
      <c r="M56" s="1067" t="str">
        <f t="shared" ref="M56:M99" si="10">IF($I56="T&amp;D",$H56," ")</f>
        <v xml:space="preserve"> </v>
      </c>
      <c r="N56" s="1067" t="str">
        <f t="shared" ref="N56:N62" si="11">IF(I56="Labor",H56," ")</f>
        <v xml:space="preserve"> </v>
      </c>
    </row>
    <row r="57" spans="3:15">
      <c r="C57" s="1061" t="s">
        <v>650</v>
      </c>
      <c r="D57" s="1082" t="s">
        <v>339</v>
      </c>
      <c r="E57" s="1063" t="s">
        <v>827</v>
      </c>
      <c r="F57" s="1064"/>
      <c r="G57" s="1063" t="s">
        <v>651</v>
      </c>
      <c r="H57" s="1065">
        <v>-4349476.1399999997</v>
      </c>
      <c r="I57" s="1066" t="s">
        <v>293</v>
      </c>
      <c r="J57" s="1067">
        <f t="shared" si="7"/>
        <v>-4349476.1399999997</v>
      </c>
      <c r="K57" s="1036" t="str">
        <f t="shared" si="8"/>
        <v xml:space="preserve"> </v>
      </c>
      <c r="L57" s="1036" t="str">
        <f t="shared" si="9"/>
        <v xml:space="preserve"> </v>
      </c>
      <c r="M57" s="1067" t="str">
        <f t="shared" si="10"/>
        <v xml:space="preserve"> </v>
      </c>
      <c r="N57" s="1067" t="str">
        <f t="shared" si="11"/>
        <v xml:space="preserve"> </v>
      </c>
    </row>
    <row r="58" spans="3:15">
      <c r="C58" s="1061" t="s">
        <v>650</v>
      </c>
      <c r="D58" s="1082"/>
      <c r="E58" s="1063" t="s">
        <v>1402</v>
      </c>
      <c r="F58" s="1064"/>
      <c r="G58" s="1063" t="s">
        <v>1403</v>
      </c>
      <c r="H58" s="1065">
        <v>65625</v>
      </c>
      <c r="I58" s="1066" t="s">
        <v>293</v>
      </c>
      <c r="J58" s="1067">
        <f t="shared" ref="J58" si="12">IF(I58="e",H58," ")</f>
        <v>65625</v>
      </c>
      <c r="K58" s="1036" t="str">
        <f t="shared" si="8"/>
        <v xml:space="preserve"> </v>
      </c>
      <c r="L58" s="1036" t="str">
        <f t="shared" si="9"/>
        <v xml:space="preserve"> </v>
      </c>
      <c r="M58" s="1067" t="str">
        <f t="shared" si="10"/>
        <v xml:space="preserve"> </v>
      </c>
      <c r="N58" s="1067" t="str">
        <f t="shared" ref="N58" si="13">IF(I58="Labor",H58," ")</f>
        <v xml:space="preserve"> </v>
      </c>
    </row>
    <row r="59" spans="3:15">
      <c r="C59" s="1061" t="s">
        <v>650</v>
      </c>
      <c r="D59" s="1082" t="s">
        <v>339</v>
      </c>
      <c r="E59" s="1063" t="s">
        <v>695</v>
      </c>
      <c r="F59" s="1064"/>
      <c r="G59" s="1063" t="s">
        <v>696</v>
      </c>
      <c r="H59" s="1065">
        <v>894.29</v>
      </c>
      <c r="I59" s="1066" t="s">
        <v>293</v>
      </c>
      <c r="J59" s="1067">
        <f t="shared" si="7"/>
        <v>894.29</v>
      </c>
      <c r="K59" s="1036" t="str">
        <f t="shared" si="8"/>
        <v xml:space="preserve"> </v>
      </c>
      <c r="L59" s="1036" t="str">
        <f t="shared" si="9"/>
        <v xml:space="preserve"> </v>
      </c>
      <c r="M59" s="1067" t="str">
        <f t="shared" si="10"/>
        <v xml:space="preserve"> </v>
      </c>
      <c r="N59" s="1067" t="str">
        <f t="shared" si="11"/>
        <v xml:space="preserve"> </v>
      </c>
    </row>
    <row r="60" spans="3:15">
      <c r="C60" s="1061" t="s">
        <v>650</v>
      </c>
      <c r="D60" s="1082"/>
      <c r="E60" s="1063" t="s">
        <v>1042</v>
      </c>
      <c r="F60" s="1064"/>
      <c r="G60" s="1063" t="s">
        <v>1043</v>
      </c>
      <c r="H60" s="1065">
        <v>272241.76</v>
      </c>
      <c r="I60" s="1066" t="s">
        <v>160</v>
      </c>
      <c r="J60" s="1067" t="str">
        <f t="shared" si="7"/>
        <v xml:space="preserve"> </v>
      </c>
      <c r="K60" s="1036" t="str">
        <f t="shared" si="8"/>
        <v xml:space="preserve"> </v>
      </c>
      <c r="L60" s="1036">
        <f t="shared" si="9"/>
        <v>272241.76</v>
      </c>
      <c r="M60" s="1067" t="str">
        <f t="shared" si="10"/>
        <v xml:space="preserve"> </v>
      </c>
      <c r="N60" s="1067" t="str">
        <f t="shared" si="11"/>
        <v xml:space="preserve"> </v>
      </c>
    </row>
    <row r="61" spans="3:15">
      <c r="C61" s="1061" t="s">
        <v>650</v>
      </c>
      <c r="D61" s="1082"/>
      <c r="E61" s="1063" t="s">
        <v>828</v>
      </c>
      <c r="F61" s="1064"/>
      <c r="G61" s="1063" t="s">
        <v>652</v>
      </c>
      <c r="H61" s="1065">
        <v>454336.26</v>
      </c>
      <c r="I61" s="1066" t="s">
        <v>293</v>
      </c>
      <c r="J61" s="1067">
        <f t="shared" si="7"/>
        <v>454336.26</v>
      </c>
      <c r="K61" s="1036" t="str">
        <f t="shared" si="8"/>
        <v xml:space="preserve"> </v>
      </c>
      <c r="L61" s="1036" t="str">
        <f t="shared" si="9"/>
        <v xml:space="preserve"> </v>
      </c>
      <c r="M61" s="1067" t="str">
        <f t="shared" si="10"/>
        <v xml:space="preserve"> </v>
      </c>
      <c r="N61" s="1067" t="str">
        <f t="shared" si="11"/>
        <v xml:space="preserve"> </v>
      </c>
    </row>
    <row r="62" spans="3:15">
      <c r="C62" s="1061" t="s">
        <v>650</v>
      </c>
      <c r="D62" s="1082" t="s">
        <v>339</v>
      </c>
      <c r="E62" s="1063" t="s">
        <v>829</v>
      </c>
      <c r="F62" s="1064"/>
      <c r="G62" s="1063" t="s">
        <v>654</v>
      </c>
      <c r="H62" s="1065">
        <v>0</v>
      </c>
      <c r="I62" s="1066" t="s">
        <v>293</v>
      </c>
      <c r="J62" s="1067">
        <f t="shared" si="7"/>
        <v>0</v>
      </c>
      <c r="K62" s="1036" t="str">
        <f t="shared" si="8"/>
        <v xml:space="preserve"> </v>
      </c>
      <c r="L62" s="1036" t="str">
        <f t="shared" si="9"/>
        <v xml:space="preserve"> </v>
      </c>
      <c r="M62" s="1067" t="str">
        <f t="shared" si="10"/>
        <v xml:space="preserve"> </v>
      </c>
      <c r="N62" s="1067" t="str">
        <f t="shared" si="11"/>
        <v xml:space="preserve"> </v>
      </c>
    </row>
    <row r="63" spans="3:15">
      <c r="C63" s="1061" t="s">
        <v>650</v>
      </c>
      <c r="D63" s="1082" t="s">
        <v>339</v>
      </c>
      <c r="E63" s="1063" t="s">
        <v>830</v>
      </c>
      <c r="F63" s="1064"/>
      <c r="G63" s="1063" t="s">
        <v>655</v>
      </c>
      <c r="H63" s="1065">
        <v>-16410767.979999999</v>
      </c>
      <c r="I63" s="1066" t="s">
        <v>302</v>
      </c>
      <c r="J63" s="1067" t="str">
        <f t="shared" ref="J63:J92" si="14">IF(I63="e",H63," ")</f>
        <v xml:space="preserve"> </v>
      </c>
      <c r="K63" s="1036" t="str">
        <f t="shared" si="8"/>
        <v xml:space="preserve"> </v>
      </c>
      <c r="L63" s="1036" t="str">
        <f t="shared" si="9"/>
        <v xml:space="preserve"> </v>
      </c>
      <c r="M63" s="1067" t="str">
        <f t="shared" si="10"/>
        <v xml:space="preserve"> </v>
      </c>
      <c r="N63" s="1067">
        <f t="shared" ref="N63:N92" si="15">IF(I63="Labor",H63," ")</f>
        <v>-16410767.979999999</v>
      </c>
    </row>
    <row r="64" spans="3:15">
      <c r="C64" s="1061" t="s">
        <v>650</v>
      </c>
      <c r="D64" s="1082" t="s">
        <v>339</v>
      </c>
      <c r="E64" s="1063" t="s">
        <v>831</v>
      </c>
      <c r="F64" s="1064"/>
      <c r="G64" s="1063" t="s">
        <v>656</v>
      </c>
      <c r="H64" s="1065">
        <v>16138712.73</v>
      </c>
      <c r="I64" s="1066" t="s">
        <v>293</v>
      </c>
      <c r="J64" s="1067">
        <f t="shared" si="14"/>
        <v>16138712.73</v>
      </c>
      <c r="K64" s="1036" t="str">
        <f t="shared" si="8"/>
        <v xml:space="preserve"> </v>
      </c>
      <c r="L64" s="1036" t="str">
        <f t="shared" si="9"/>
        <v xml:space="preserve"> </v>
      </c>
      <c r="M64" s="1067" t="str">
        <f t="shared" si="10"/>
        <v xml:space="preserve"> </v>
      </c>
      <c r="N64" s="1067" t="str">
        <f t="shared" si="15"/>
        <v xml:space="preserve"> </v>
      </c>
    </row>
    <row r="65" spans="3:14">
      <c r="C65" s="1061" t="s">
        <v>650</v>
      </c>
      <c r="D65" s="1082" t="s">
        <v>339</v>
      </c>
      <c r="E65" s="1063" t="s">
        <v>1044</v>
      </c>
      <c r="F65" s="1064"/>
      <c r="G65" s="1063" t="s">
        <v>1045</v>
      </c>
      <c r="H65" s="1065">
        <v>0</v>
      </c>
      <c r="I65" s="1066" t="s">
        <v>293</v>
      </c>
      <c r="J65" s="1067">
        <f t="shared" si="14"/>
        <v>0</v>
      </c>
      <c r="K65" s="1036" t="str">
        <f t="shared" si="8"/>
        <v xml:space="preserve"> </v>
      </c>
      <c r="L65" s="1036" t="str">
        <f t="shared" si="9"/>
        <v xml:space="preserve"> </v>
      </c>
      <c r="M65" s="1067" t="str">
        <f t="shared" si="10"/>
        <v xml:space="preserve"> </v>
      </c>
      <c r="N65" s="1067" t="str">
        <f t="shared" si="15"/>
        <v xml:space="preserve"> </v>
      </c>
    </row>
    <row r="66" spans="3:14">
      <c r="C66" s="1061" t="s">
        <v>650</v>
      </c>
      <c r="D66" s="1082" t="s">
        <v>339</v>
      </c>
      <c r="E66" s="1063" t="s">
        <v>832</v>
      </c>
      <c r="F66" s="1064"/>
      <c r="G66" s="1063" t="s">
        <v>657</v>
      </c>
      <c r="H66" s="1065">
        <v>-7146774.669999999</v>
      </c>
      <c r="I66" s="1066" t="s">
        <v>160</v>
      </c>
      <c r="J66" s="1067" t="str">
        <f t="shared" si="14"/>
        <v xml:space="preserve"> </v>
      </c>
      <c r="K66" s="1036" t="str">
        <f t="shared" si="8"/>
        <v xml:space="preserve"> </v>
      </c>
      <c r="L66" s="1036">
        <f t="shared" si="9"/>
        <v>-7146774.669999999</v>
      </c>
      <c r="M66" s="1067" t="str">
        <f t="shared" si="10"/>
        <v xml:space="preserve"> </v>
      </c>
      <c r="N66" s="1067" t="str">
        <f t="shared" si="15"/>
        <v xml:space="preserve"> </v>
      </c>
    </row>
    <row r="67" spans="3:14">
      <c r="C67" s="1061" t="s">
        <v>650</v>
      </c>
      <c r="D67" s="1082" t="s">
        <v>339</v>
      </c>
      <c r="E67" s="1063" t="s">
        <v>833</v>
      </c>
      <c r="F67" s="1064"/>
      <c r="G67" s="1063" t="s">
        <v>658</v>
      </c>
      <c r="H67" s="1065">
        <v>-80739.97</v>
      </c>
      <c r="I67" s="1066" t="s">
        <v>293</v>
      </c>
      <c r="J67" s="1067">
        <f t="shared" si="14"/>
        <v>-80739.97</v>
      </c>
      <c r="K67" s="1036" t="str">
        <f t="shared" si="8"/>
        <v xml:space="preserve"> </v>
      </c>
      <c r="L67" s="1036" t="str">
        <f t="shared" si="9"/>
        <v xml:space="preserve"> </v>
      </c>
      <c r="M67" s="1067" t="str">
        <f t="shared" si="10"/>
        <v xml:space="preserve"> </v>
      </c>
      <c r="N67" s="1067" t="str">
        <f t="shared" si="15"/>
        <v xml:space="preserve"> </v>
      </c>
    </row>
    <row r="68" spans="3:14">
      <c r="C68" s="1061" t="s">
        <v>650</v>
      </c>
      <c r="D68" s="1082" t="s">
        <v>339</v>
      </c>
      <c r="E68" s="1063" t="s">
        <v>834</v>
      </c>
      <c r="F68" s="1064"/>
      <c r="G68" s="1063" t="s">
        <v>659</v>
      </c>
      <c r="H68" s="1065">
        <v>-1322734.2099999997</v>
      </c>
      <c r="I68" s="1066" t="s">
        <v>160</v>
      </c>
      <c r="J68" s="1067" t="str">
        <f t="shared" si="14"/>
        <v xml:space="preserve"> </v>
      </c>
      <c r="K68" s="1036" t="str">
        <f t="shared" si="8"/>
        <v xml:space="preserve"> </v>
      </c>
      <c r="L68" s="1036">
        <f t="shared" si="9"/>
        <v>-1322734.2099999997</v>
      </c>
      <c r="M68" s="1067" t="str">
        <f t="shared" si="10"/>
        <v xml:space="preserve"> </v>
      </c>
      <c r="N68" s="1067" t="str">
        <f t="shared" si="15"/>
        <v xml:space="preserve"> </v>
      </c>
    </row>
    <row r="69" spans="3:14">
      <c r="C69" s="1061" t="s">
        <v>650</v>
      </c>
      <c r="D69" s="1082" t="s">
        <v>339</v>
      </c>
      <c r="E69" s="1063" t="s">
        <v>835</v>
      </c>
      <c r="F69" s="1064"/>
      <c r="G69" s="1063" t="s">
        <v>660</v>
      </c>
      <c r="H69" s="1065">
        <v>-9969.4100000000035</v>
      </c>
      <c r="I69" s="1066" t="s">
        <v>293</v>
      </c>
      <c r="J69" s="1067">
        <f t="shared" si="14"/>
        <v>-9969.4100000000035</v>
      </c>
      <c r="K69" s="1036" t="str">
        <f t="shared" si="8"/>
        <v xml:space="preserve"> </v>
      </c>
      <c r="L69" s="1036" t="str">
        <f t="shared" si="9"/>
        <v xml:space="preserve"> </v>
      </c>
      <c r="M69" s="1067" t="str">
        <f t="shared" si="10"/>
        <v xml:space="preserve"> </v>
      </c>
      <c r="N69" s="1067" t="str">
        <f t="shared" si="15"/>
        <v xml:space="preserve"> </v>
      </c>
    </row>
    <row r="70" spans="3:14">
      <c r="C70" s="1061" t="s">
        <v>650</v>
      </c>
      <c r="D70" s="1082" t="s">
        <v>339</v>
      </c>
      <c r="E70" s="1063" t="s">
        <v>1046</v>
      </c>
      <c r="F70" s="1064"/>
      <c r="G70" s="1063" t="s">
        <v>1047</v>
      </c>
      <c r="H70" s="1065">
        <v>0.13</v>
      </c>
      <c r="I70" s="1066" t="s">
        <v>293</v>
      </c>
      <c r="J70" s="1067">
        <f t="shared" si="14"/>
        <v>0.13</v>
      </c>
      <c r="K70" s="1036" t="str">
        <f t="shared" si="8"/>
        <v xml:space="preserve"> </v>
      </c>
      <c r="L70" s="1036" t="str">
        <f t="shared" si="9"/>
        <v xml:space="preserve"> </v>
      </c>
      <c r="M70" s="1067" t="str">
        <f t="shared" si="10"/>
        <v xml:space="preserve"> </v>
      </c>
      <c r="N70" s="1067" t="str">
        <f t="shared" si="15"/>
        <v xml:space="preserve"> </v>
      </c>
    </row>
    <row r="71" spans="3:14">
      <c r="C71" s="1061" t="s">
        <v>650</v>
      </c>
      <c r="D71" s="1082" t="s">
        <v>339</v>
      </c>
      <c r="E71" s="1063" t="s">
        <v>1048</v>
      </c>
      <c r="F71" s="1064"/>
      <c r="G71" s="1063" t="s">
        <v>1049</v>
      </c>
      <c r="H71" s="1065">
        <v>-0.11</v>
      </c>
      <c r="I71" s="1066" t="s">
        <v>160</v>
      </c>
      <c r="J71" s="1067" t="str">
        <f t="shared" si="14"/>
        <v xml:space="preserve"> </v>
      </c>
      <c r="K71" s="1036" t="str">
        <f t="shared" si="8"/>
        <v xml:space="preserve"> </v>
      </c>
      <c r="L71" s="1036">
        <f t="shared" si="9"/>
        <v>-0.11</v>
      </c>
      <c r="M71" s="1067" t="str">
        <f t="shared" si="10"/>
        <v xml:space="preserve"> </v>
      </c>
      <c r="N71" s="1067" t="str">
        <f t="shared" si="15"/>
        <v xml:space="preserve"> </v>
      </c>
    </row>
    <row r="72" spans="3:14">
      <c r="C72" s="1061" t="s">
        <v>650</v>
      </c>
      <c r="D72" s="1082" t="s">
        <v>339</v>
      </c>
      <c r="E72" s="1063" t="s">
        <v>1050</v>
      </c>
      <c r="F72" s="1064"/>
      <c r="G72" s="1063" t="s">
        <v>1051</v>
      </c>
      <c r="H72" s="1065">
        <v>0.20999999999999996</v>
      </c>
      <c r="I72" s="1066" t="s">
        <v>159</v>
      </c>
      <c r="J72" s="1067" t="str">
        <f t="shared" si="14"/>
        <v xml:space="preserve"> </v>
      </c>
      <c r="K72" s="1036" t="str">
        <f t="shared" si="8"/>
        <v xml:space="preserve"> </v>
      </c>
      <c r="L72" s="1036" t="str">
        <f t="shared" si="9"/>
        <v xml:space="preserve"> </v>
      </c>
      <c r="M72" s="1067">
        <f t="shared" si="10"/>
        <v>0.20999999999999996</v>
      </c>
      <c r="N72" s="1067" t="str">
        <f t="shared" si="15"/>
        <v xml:space="preserve"> </v>
      </c>
    </row>
    <row r="73" spans="3:14">
      <c r="C73" s="1061" t="s">
        <v>650</v>
      </c>
      <c r="D73" s="1082" t="s">
        <v>339</v>
      </c>
      <c r="E73" s="1063" t="s">
        <v>836</v>
      </c>
      <c r="F73" s="1064"/>
      <c r="G73" s="1063" t="s">
        <v>663</v>
      </c>
      <c r="H73" s="1065">
        <v>-16138712.73</v>
      </c>
      <c r="I73" s="1066" t="s">
        <v>293</v>
      </c>
      <c r="J73" s="1067">
        <f t="shared" si="14"/>
        <v>-16138712.73</v>
      </c>
      <c r="K73" s="1036" t="str">
        <f t="shared" si="8"/>
        <v xml:space="preserve"> </v>
      </c>
      <c r="L73" s="1036" t="str">
        <f t="shared" si="9"/>
        <v xml:space="preserve"> </v>
      </c>
      <c r="M73" s="1067" t="str">
        <f t="shared" si="10"/>
        <v xml:space="preserve"> </v>
      </c>
      <c r="N73" s="1067" t="str">
        <f t="shared" si="15"/>
        <v xml:space="preserve"> </v>
      </c>
    </row>
    <row r="74" spans="3:14">
      <c r="C74" s="1061" t="s">
        <v>650</v>
      </c>
      <c r="D74" s="1082" t="s">
        <v>339</v>
      </c>
      <c r="E74" s="1063" t="s">
        <v>837</v>
      </c>
      <c r="F74" s="1064"/>
      <c r="G74" s="1063" t="s">
        <v>664</v>
      </c>
      <c r="H74" s="1065">
        <v>-147974.19000000006</v>
      </c>
      <c r="I74" s="1066" t="s">
        <v>293</v>
      </c>
      <c r="J74" s="1067">
        <f t="shared" si="14"/>
        <v>-147974.19000000006</v>
      </c>
      <c r="K74" s="1036" t="str">
        <f t="shared" si="8"/>
        <v xml:space="preserve"> </v>
      </c>
      <c r="L74" s="1036" t="str">
        <f t="shared" si="9"/>
        <v xml:space="preserve"> </v>
      </c>
      <c r="M74" s="1067" t="str">
        <f t="shared" si="10"/>
        <v xml:space="preserve"> </v>
      </c>
      <c r="N74" s="1067" t="str">
        <f t="shared" si="15"/>
        <v xml:space="preserve"> </v>
      </c>
    </row>
    <row r="75" spans="3:14">
      <c r="C75" s="1061" t="s">
        <v>650</v>
      </c>
      <c r="D75" s="1082" t="s">
        <v>339</v>
      </c>
      <c r="E75" s="1063" t="s">
        <v>838</v>
      </c>
      <c r="F75" s="1064"/>
      <c r="G75" s="1063" t="s">
        <v>665</v>
      </c>
      <c r="H75" s="1065">
        <v>-1413424.7200000002</v>
      </c>
      <c r="I75" s="1066" t="s">
        <v>293</v>
      </c>
      <c r="J75" s="1067">
        <f t="shared" si="14"/>
        <v>-1413424.7200000002</v>
      </c>
      <c r="K75" s="1036" t="str">
        <f t="shared" si="8"/>
        <v xml:space="preserve"> </v>
      </c>
      <c r="L75" s="1036" t="str">
        <f t="shared" si="9"/>
        <v xml:space="preserve"> </v>
      </c>
      <c r="M75" s="1067" t="str">
        <f t="shared" si="10"/>
        <v xml:space="preserve"> </v>
      </c>
      <c r="N75" s="1067" t="str">
        <f t="shared" si="15"/>
        <v xml:space="preserve"> </v>
      </c>
    </row>
    <row r="76" spans="3:14">
      <c r="C76" s="1061" t="s">
        <v>650</v>
      </c>
      <c r="D76" s="1082" t="s">
        <v>339</v>
      </c>
      <c r="E76" s="1063" t="s">
        <v>1052</v>
      </c>
      <c r="F76" s="1064"/>
      <c r="G76" s="1063" t="s">
        <v>1053</v>
      </c>
      <c r="H76" s="1065">
        <v>-869847.19000000006</v>
      </c>
      <c r="I76" s="1066" t="s">
        <v>293</v>
      </c>
      <c r="J76" s="1067">
        <f t="shared" si="14"/>
        <v>-869847.19000000006</v>
      </c>
      <c r="K76" s="1036" t="str">
        <f t="shared" si="8"/>
        <v xml:space="preserve"> </v>
      </c>
      <c r="L76" s="1036" t="str">
        <f t="shared" si="9"/>
        <v xml:space="preserve"> </v>
      </c>
      <c r="M76" s="1067" t="str">
        <f t="shared" si="10"/>
        <v xml:space="preserve"> </v>
      </c>
      <c r="N76" s="1067" t="str">
        <f t="shared" si="15"/>
        <v xml:space="preserve"> </v>
      </c>
    </row>
    <row r="77" spans="3:14">
      <c r="C77" s="1061" t="s">
        <v>650</v>
      </c>
      <c r="D77" s="1082" t="s">
        <v>339</v>
      </c>
      <c r="E77" s="1063" t="s">
        <v>1054</v>
      </c>
      <c r="F77" s="1064"/>
      <c r="G77" s="1063" t="s">
        <v>1055</v>
      </c>
      <c r="H77" s="1065">
        <v>0</v>
      </c>
      <c r="I77" s="1066" t="s">
        <v>293</v>
      </c>
      <c r="J77" s="1067">
        <f t="shared" si="14"/>
        <v>0</v>
      </c>
      <c r="K77" s="1036" t="str">
        <f t="shared" si="8"/>
        <v xml:space="preserve"> </v>
      </c>
      <c r="L77" s="1036" t="str">
        <f t="shared" si="9"/>
        <v xml:space="preserve"> </v>
      </c>
      <c r="M77" s="1067" t="str">
        <f t="shared" si="10"/>
        <v xml:space="preserve"> </v>
      </c>
      <c r="N77" s="1067" t="str">
        <f t="shared" si="15"/>
        <v xml:space="preserve"> </v>
      </c>
    </row>
    <row r="78" spans="3:14">
      <c r="C78" s="1061" t="s">
        <v>650</v>
      </c>
      <c r="D78" s="1082" t="s">
        <v>339</v>
      </c>
      <c r="E78" s="1063" t="s">
        <v>1056</v>
      </c>
      <c r="F78" s="1064"/>
      <c r="G78" s="1063" t="s">
        <v>1057</v>
      </c>
      <c r="H78" s="1065">
        <v>-13967511.150000002</v>
      </c>
      <c r="I78" s="1066" t="s">
        <v>293</v>
      </c>
      <c r="J78" s="1067">
        <f t="shared" si="14"/>
        <v>-13967511.150000002</v>
      </c>
      <c r="K78" s="1036" t="str">
        <f t="shared" si="8"/>
        <v xml:space="preserve"> </v>
      </c>
      <c r="L78" s="1036" t="str">
        <f t="shared" si="9"/>
        <v xml:space="preserve"> </v>
      </c>
      <c r="M78" s="1067" t="str">
        <f t="shared" si="10"/>
        <v xml:space="preserve"> </v>
      </c>
      <c r="N78" s="1067" t="str">
        <f t="shared" si="15"/>
        <v xml:space="preserve"> </v>
      </c>
    </row>
    <row r="79" spans="3:14">
      <c r="C79" s="1061" t="s">
        <v>650</v>
      </c>
      <c r="D79" s="1082" t="s">
        <v>339</v>
      </c>
      <c r="E79" s="1063" t="s">
        <v>1058</v>
      </c>
      <c r="F79" s="1064"/>
      <c r="G79" s="1063" t="s">
        <v>1059</v>
      </c>
      <c r="H79" s="1065">
        <v>6771356.7599999988</v>
      </c>
      <c r="I79" s="1066" t="s">
        <v>293</v>
      </c>
      <c r="J79" s="1067">
        <f t="shared" si="14"/>
        <v>6771356.7599999988</v>
      </c>
      <c r="K79" s="1036" t="str">
        <f t="shared" si="8"/>
        <v xml:space="preserve"> </v>
      </c>
      <c r="L79" s="1036" t="str">
        <f t="shared" si="9"/>
        <v xml:space="preserve"> </v>
      </c>
      <c r="M79" s="1067" t="str">
        <f t="shared" si="10"/>
        <v xml:space="preserve"> </v>
      </c>
      <c r="N79" s="1067" t="str">
        <f t="shared" si="15"/>
        <v xml:space="preserve"> </v>
      </c>
    </row>
    <row r="80" spans="3:14">
      <c r="C80" s="1061" t="s">
        <v>650</v>
      </c>
      <c r="D80" s="1082" t="s">
        <v>339</v>
      </c>
      <c r="E80" s="1063" t="s">
        <v>1060</v>
      </c>
      <c r="F80" s="1064"/>
      <c r="G80" s="1063" t="s">
        <v>1061</v>
      </c>
      <c r="H80" s="1065">
        <v>-288395.2799999998</v>
      </c>
      <c r="I80" s="1066" t="s">
        <v>293</v>
      </c>
      <c r="J80" s="1067">
        <f t="shared" si="14"/>
        <v>-288395.2799999998</v>
      </c>
      <c r="K80" s="1036" t="str">
        <f t="shared" si="8"/>
        <v xml:space="preserve"> </v>
      </c>
      <c r="L80" s="1036" t="str">
        <f t="shared" si="9"/>
        <v xml:space="preserve"> </v>
      </c>
      <c r="M80" s="1067" t="str">
        <f t="shared" si="10"/>
        <v xml:space="preserve"> </v>
      </c>
      <c r="N80" s="1067" t="str">
        <f t="shared" si="15"/>
        <v xml:space="preserve"> </v>
      </c>
    </row>
    <row r="81" spans="3:14">
      <c r="C81" s="1061" t="s">
        <v>650</v>
      </c>
      <c r="D81" s="1082" t="s">
        <v>339</v>
      </c>
      <c r="E81" s="1063" t="s">
        <v>1062</v>
      </c>
      <c r="F81" s="1064"/>
      <c r="G81" s="1063" t="s">
        <v>1063</v>
      </c>
      <c r="H81" s="1065">
        <v>0</v>
      </c>
      <c r="I81" s="1066" t="s">
        <v>293</v>
      </c>
      <c r="J81" s="1067">
        <f t="shared" si="14"/>
        <v>0</v>
      </c>
      <c r="K81" s="1036" t="str">
        <f t="shared" si="8"/>
        <v xml:space="preserve"> </v>
      </c>
      <c r="L81" s="1036" t="str">
        <f t="shared" si="9"/>
        <v xml:space="preserve"> </v>
      </c>
      <c r="M81" s="1067" t="str">
        <f t="shared" si="10"/>
        <v xml:space="preserve"> </v>
      </c>
      <c r="N81" s="1067" t="str">
        <f t="shared" si="15"/>
        <v xml:space="preserve"> </v>
      </c>
    </row>
    <row r="82" spans="3:14">
      <c r="C82" s="1061" t="s">
        <v>650</v>
      </c>
      <c r="D82" s="1082" t="s">
        <v>339</v>
      </c>
      <c r="E82" s="1063" t="s">
        <v>1064</v>
      </c>
      <c r="F82" s="1064"/>
      <c r="G82" s="1063" t="s">
        <v>1065</v>
      </c>
      <c r="H82" s="1065">
        <v>-9375424.0899999961</v>
      </c>
      <c r="I82" s="1066" t="s">
        <v>293</v>
      </c>
      <c r="J82" s="1067">
        <f t="shared" si="14"/>
        <v>-9375424.0899999961</v>
      </c>
      <c r="K82" s="1036" t="str">
        <f t="shared" si="8"/>
        <v xml:space="preserve"> </v>
      </c>
      <c r="L82" s="1036" t="str">
        <f t="shared" si="9"/>
        <v xml:space="preserve"> </v>
      </c>
      <c r="M82" s="1067" t="str">
        <f t="shared" si="10"/>
        <v xml:space="preserve"> </v>
      </c>
      <c r="N82" s="1067" t="str">
        <f t="shared" si="15"/>
        <v xml:space="preserve"> </v>
      </c>
    </row>
    <row r="83" spans="3:14">
      <c r="C83" s="1061" t="s">
        <v>650</v>
      </c>
      <c r="D83" s="1082" t="s">
        <v>339</v>
      </c>
      <c r="E83" s="1063" t="s">
        <v>1066</v>
      </c>
      <c r="F83" s="1064"/>
      <c r="G83" s="1063" t="s">
        <v>1067</v>
      </c>
      <c r="H83" s="1065">
        <v>3247443.5599999996</v>
      </c>
      <c r="I83" s="1066" t="s">
        <v>293</v>
      </c>
      <c r="J83" s="1067">
        <f t="shared" si="14"/>
        <v>3247443.5599999996</v>
      </c>
      <c r="K83" s="1036" t="str">
        <f t="shared" si="8"/>
        <v xml:space="preserve"> </v>
      </c>
      <c r="L83" s="1036" t="str">
        <f t="shared" si="9"/>
        <v xml:space="preserve"> </v>
      </c>
      <c r="M83" s="1067" t="str">
        <f t="shared" si="10"/>
        <v xml:space="preserve"> </v>
      </c>
      <c r="N83" s="1067" t="str">
        <f t="shared" si="15"/>
        <v xml:space="preserve"> </v>
      </c>
    </row>
    <row r="84" spans="3:14">
      <c r="C84" s="1061" t="s">
        <v>650</v>
      </c>
      <c r="D84" s="1082"/>
      <c r="E84" s="1063" t="s">
        <v>1404</v>
      </c>
      <c r="F84" s="1064"/>
      <c r="G84" s="1063" t="s">
        <v>1406</v>
      </c>
      <c r="H84" s="1065">
        <v>0</v>
      </c>
      <c r="I84" s="1066" t="s">
        <v>293</v>
      </c>
      <c r="J84" s="1067">
        <f t="shared" si="14"/>
        <v>0</v>
      </c>
      <c r="K84" s="1036" t="str">
        <f t="shared" si="8"/>
        <v xml:space="preserve"> </v>
      </c>
      <c r="L84" s="1036" t="str">
        <f t="shared" si="9"/>
        <v xml:space="preserve"> </v>
      </c>
      <c r="M84" s="1067" t="str">
        <f t="shared" si="10"/>
        <v xml:space="preserve"> </v>
      </c>
      <c r="N84" s="1067" t="str">
        <f t="shared" si="15"/>
        <v xml:space="preserve"> </v>
      </c>
    </row>
    <row r="85" spans="3:14">
      <c r="C85" s="1061" t="s">
        <v>650</v>
      </c>
      <c r="D85" s="1082"/>
      <c r="E85" s="1063" t="s">
        <v>1405</v>
      </c>
      <c r="F85" s="1064"/>
      <c r="G85" s="1063" t="s">
        <v>1407</v>
      </c>
      <c r="H85" s="1065">
        <v>-93950.85</v>
      </c>
      <c r="I85" s="1066" t="s">
        <v>293</v>
      </c>
      <c r="J85" s="1067">
        <f t="shared" si="14"/>
        <v>-93950.85</v>
      </c>
      <c r="K85" s="1036" t="str">
        <f t="shared" si="8"/>
        <v xml:space="preserve"> </v>
      </c>
      <c r="L85" s="1036" t="str">
        <f t="shared" si="9"/>
        <v xml:space="preserve"> </v>
      </c>
      <c r="M85" s="1067" t="str">
        <f t="shared" si="10"/>
        <v xml:space="preserve"> </v>
      </c>
      <c r="N85" s="1067" t="str">
        <f t="shared" si="15"/>
        <v xml:space="preserve"> </v>
      </c>
    </row>
    <row r="86" spans="3:14">
      <c r="C86" s="1061" t="s">
        <v>650</v>
      </c>
      <c r="D86" s="1082"/>
      <c r="E86" s="1063" t="s">
        <v>1461</v>
      </c>
      <c r="F86" s="1064"/>
      <c r="G86" s="1063" t="s">
        <v>1463</v>
      </c>
      <c r="H86" s="1065">
        <v>-16262362.890000006</v>
      </c>
      <c r="I86" s="1066" t="s">
        <v>293</v>
      </c>
      <c r="J86" s="1067">
        <f t="shared" si="14"/>
        <v>-16262362.890000006</v>
      </c>
      <c r="K86" s="1036" t="str">
        <f t="shared" si="8"/>
        <v xml:space="preserve"> </v>
      </c>
      <c r="L86" s="1036" t="str">
        <f t="shared" si="9"/>
        <v xml:space="preserve"> </v>
      </c>
      <c r="M86" s="1067" t="str">
        <f t="shared" si="10"/>
        <v xml:space="preserve"> </v>
      </c>
      <c r="N86" s="1067" t="str">
        <f t="shared" si="15"/>
        <v xml:space="preserve"> </v>
      </c>
    </row>
    <row r="87" spans="3:14">
      <c r="C87" s="1061" t="s">
        <v>650</v>
      </c>
      <c r="D87" s="1082"/>
      <c r="E87" s="1063" t="s">
        <v>1462</v>
      </c>
      <c r="F87" s="1064"/>
      <c r="G87" s="1063" t="s">
        <v>1464</v>
      </c>
      <c r="H87" s="1065">
        <v>4136.8999999999996</v>
      </c>
      <c r="I87" s="1066" t="s">
        <v>293</v>
      </c>
      <c r="J87" s="1067">
        <f t="shared" si="14"/>
        <v>4136.8999999999996</v>
      </c>
      <c r="K87" s="1036" t="str">
        <f t="shared" si="8"/>
        <v xml:space="preserve"> </v>
      </c>
      <c r="L87" s="1036" t="str">
        <f t="shared" si="9"/>
        <v xml:space="preserve"> </v>
      </c>
      <c r="M87" s="1067" t="str">
        <f t="shared" si="10"/>
        <v xml:space="preserve"> </v>
      </c>
      <c r="N87" s="1067" t="str">
        <f t="shared" si="15"/>
        <v xml:space="preserve"> </v>
      </c>
    </row>
    <row r="88" spans="3:14">
      <c r="C88" s="1061" t="s">
        <v>650</v>
      </c>
      <c r="D88" s="1082" t="s">
        <v>339</v>
      </c>
      <c r="E88" s="1063" t="s">
        <v>839</v>
      </c>
      <c r="F88" s="1064"/>
      <c r="G88" s="1063" t="s">
        <v>679</v>
      </c>
      <c r="H88" s="1065">
        <v>-894828.58999999985</v>
      </c>
      <c r="I88" s="1066" t="s">
        <v>160</v>
      </c>
      <c r="J88" s="1067" t="str">
        <f t="shared" si="14"/>
        <v xml:space="preserve"> </v>
      </c>
      <c r="K88" s="1036" t="str">
        <f t="shared" si="8"/>
        <v xml:space="preserve"> </v>
      </c>
      <c r="L88" s="1036">
        <f t="shared" si="9"/>
        <v>-894828.58999999985</v>
      </c>
      <c r="M88" s="1067" t="str">
        <f t="shared" si="10"/>
        <v xml:space="preserve"> </v>
      </c>
      <c r="N88" s="1067" t="str">
        <f t="shared" si="15"/>
        <v xml:space="preserve"> </v>
      </c>
    </row>
    <row r="89" spans="3:14">
      <c r="C89" s="1061" t="s">
        <v>650</v>
      </c>
      <c r="D89" s="1082" t="s">
        <v>339</v>
      </c>
      <c r="E89" s="1063" t="s">
        <v>840</v>
      </c>
      <c r="F89" s="1064"/>
      <c r="G89" s="1063" t="s">
        <v>681</v>
      </c>
      <c r="H89" s="1065">
        <v>-4809140.3600000013</v>
      </c>
      <c r="I89" s="1066" t="s">
        <v>302</v>
      </c>
      <c r="J89" s="1067" t="str">
        <f t="shared" si="14"/>
        <v xml:space="preserve"> </v>
      </c>
      <c r="K89" s="1036" t="str">
        <f t="shared" si="8"/>
        <v xml:space="preserve"> </v>
      </c>
      <c r="L89" s="1036" t="str">
        <f t="shared" si="9"/>
        <v xml:space="preserve"> </v>
      </c>
      <c r="M89" s="1067" t="str">
        <f t="shared" si="10"/>
        <v xml:space="preserve"> </v>
      </c>
      <c r="N89" s="1067">
        <f t="shared" si="15"/>
        <v>-4809140.3600000013</v>
      </c>
    </row>
    <row r="90" spans="3:14">
      <c r="C90" s="1061" t="s">
        <v>650</v>
      </c>
      <c r="D90" s="1082" t="s">
        <v>339</v>
      </c>
      <c r="E90" s="1063" t="s">
        <v>841</v>
      </c>
      <c r="F90" s="1064"/>
      <c r="G90" s="1063" t="s">
        <v>682</v>
      </c>
      <c r="H90" s="1065">
        <v>3075789.99</v>
      </c>
      <c r="I90" s="1066" t="s">
        <v>302</v>
      </c>
      <c r="J90" s="1067" t="str">
        <f t="shared" si="14"/>
        <v xml:space="preserve"> </v>
      </c>
      <c r="K90" s="1036" t="str">
        <f t="shared" si="8"/>
        <v xml:space="preserve"> </v>
      </c>
      <c r="L90" s="1036" t="str">
        <f t="shared" si="9"/>
        <v xml:space="preserve"> </v>
      </c>
      <c r="M90" s="1067" t="str">
        <f t="shared" si="10"/>
        <v xml:space="preserve"> </v>
      </c>
      <c r="N90" s="1067">
        <f t="shared" si="15"/>
        <v>3075789.99</v>
      </c>
    </row>
    <row r="91" spans="3:14">
      <c r="C91" s="1061" t="s">
        <v>650</v>
      </c>
      <c r="D91" s="1082"/>
      <c r="E91" s="1063" t="s">
        <v>842</v>
      </c>
      <c r="F91" s="1064"/>
      <c r="G91" s="1063" t="s">
        <v>684</v>
      </c>
      <c r="H91" s="1065">
        <v>-617292.91999999993</v>
      </c>
      <c r="I91" s="1066" t="s">
        <v>302</v>
      </c>
      <c r="J91" s="1067" t="str">
        <f t="shared" si="14"/>
        <v xml:space="preserve"> </v>
      </c>
      <c r="K91" s="1036" t="str">
        <f t="shared" si="8"/>
        <v xml:space="preserve"> </v>
      </c>
      <c r="L91" s="1036" t="str">
        <f t="shared" si="9"/>
        <v xml:space="preserve"> </v>
      </c>
      <c r="M91" s="1067" t="str">
        <f t="shared" si="10"/>
        <v xml:space="preserve"> </v>
      </c>
      <c r="N91" s="1067">
        <f t="shared" si="15"/>
        <v>-617292.91999999993</v>
      </c>
    </row>
    <row r="92" spans="3:14">
      <c r="C92" s="1061" t="s">
        <v>650</v>
      </c>
      <c r="D92" s="1082" t="s">
        <v>339</v>
      </c>
      <c r="E92" s="1063" t="s">
        <v>843</v>
      </c>
      <c r="F92" s="1064"/>
      <c r="G92" s="1063" t="s">
        <v>685</v>
      </c>
      <c r="H92" s="1065">
        <v>0.04</v>
      </c>
      <c r="I92" s="1066" t="s">
        <v>293</v>
      </c>
      <c r="J92" s="1067">
        <f t="shared" si="14"/>
        <v>0.04</v>
      </c>
      <c r="K92" s="1036" t="str">
        <f t="shared" si="8"/>
        <v xml:space="preserve"> </v>
      </c>
      <c r="L92" s="1036" t="str">
        <f t="shared" si="9"/>
        <v xml:space="preserve"> </v>
      </c>
      <c r="M92" s="1067" t="str">
        <f t="shared" si="10"/>
        <v xml:space="preserve"> </v>
      </c>
      <c r="N92" s="1067" t="str">
        <f t="shared" si="15"/>
        <v xml:space="preserve"> </v>
      </c>
    </row>
    <row r="93" spans="3:14">
      <c r="C93" s="1083">
        <v>2831001</v>
      </c>
      <c r="D93" s="753"/>
      <c r="E93" s="1063" t="s">
        <v>1466</v>
      </c>
      <c r="F93" s="700"/>
      <c r="G93" s="1063" t="s">
        <v>1272</v>
      </c>
      <c r="H93" s="1065">
        <v>5490049.9500000002</v>
      </c>
      <c r="I93" s="1066" t="s">
        <v>1271</v>
      </c>
      <c r="J93" s="1065">
        <v>-3962053.4823704408</v>
      </c>
      <c r="K93" s="1065">
        <v>6534881.432370441</v>
      </c>
      <c r="L93" s="1036" t="str">
        <f t="shared" si="9"/>
        <v xml:space="preserve"> </v>
      </c>
      <c r="M93" s="1067" t="str">
        <f t="shared" si="10"/>
        <v xml:space="preserve"> </v>
      </c>
      <c r="N93" s="1067" t="str">
        <f t="shared" ref="N93:N99" si="16">IF(I93="Labor",H93," ")</f>
        <v xml:space="preserve"> </v>
      </c>
    </row>
    <row r="94" spans="3:14">
      <c r="C94" s="1083">
        <v>2831001</v>
      </c>
      <c r="D94" s="753"/>
      <c r="E94" s="1063" t="s">
        <v>1466</v>
      </c>
      <c r="F94" s="700"/>
      <c r="G94" s="1063" t="s">
        <v>1465</v>
      </c>
      <c r="H94" s="1065">
        <v>-2917222</v>
      </c>
      <c r="I94" s="1066" t="s">
        <v>1271</v>
      </c>
      <c r="J94" s="1065"/>
      <c r="K94" s="1065"/>
      <c r="L94" s="1036"/>
      <c r="M94" s="1067"/>
      <c r="N94" s="1067"/>
    </row>
    <row r="95" spans="3:14">
      <c r="C95" s="1083">
        <v>2831001</v>
      </c>
      <c r="D95" s="753"/>
      <c r="E95" s="1063" t="s">
        <v>1068</v>
      </c>
      <c r="F95" s="700"/>
      <c r="G95" s="1063" t="s">
        <v>1069</v>
      </c>
      <c r="H95" s="1065">
        <v>-1257375</v>
      </c>
      <c r="I95" s="1066" t="s">
        <v>293</v>
      </c>
      <c r="J95" s="1067">
        <f t="shared" ref="J95" si="17">IF(I95="e",H95," ")</f>
        <v>-1257375</v>
      </c>
      <c r="K95" s="1036" t="str">
        <f t="shared" si="8"/>
        <v xml:space="preserve"> </v>
      </c>
      <c r="L95" s="1036" t="str">
        <f t="shared" si="9"/>
        <v xml:space="preserve"> </v>
      </c>
      <c r="M95" s="1067" t="str">
        <f t="shared" si="10"/>
        <v xml:space="preserve"> </v>
      </c>
      <c r="N95" s="1067" t="str">
        <f t="shared" ref="N95" si="18">IF(I95="Labor",H95," ")</f>
        <v xml:space="preserve"> </v>
      </c>
    </row>
    <row r="96" spans="3:14" s="1085" customFormat="1">
      <c r="C96" s="1083">
        <v>2831001</v>
      </c>
      <c r="D96" s="1084"/>
      <c r="E96" s="1063" t="s">
        <v>1466</v>
      </c>
      <c r="G96" s="1063" t="s">
        <v>1467</v>
      </c>
      <c r="H96" s="1065">
        <v>0</v>
      </c>
      <c r="I96" s="1066" t="s">
        <v>1271</v>
      </c>
      <c r="J96" s="1065"/>
      <c r="K96" s="1065"/>
      <c r="L96" s="1086"/>
      <c r="M96" s="1087"/>
      <c r="N96" s="1087"/>
    </row>
    <row r="97" spans="3:15">
      <c r="C97" s="1088"/>
      <c r="D97" s="1089"/>
      <c r="E97" s="1064"/>
      <c r="F97" s="739"/>
      <c r="G97" s="1064"/>
      <c r="H97" s="1090"/>
      <c r="I97" s="1091"/>
      <c r="J97" s="1067"/>
      <c r="K97" s="1036"/>
      <c r="L97" s="1036"/>
      <c r="M97" s="1067"/>
      <c r="N97" s="1067"/>
    </row>
    <row r="98" spans="3:15">
      <c r="C98" s="1092">
        <v>2831002</v>
      </c>
      <c r="D98" s="739" t="s">
        <v>339</v>
      </c>
      <c r="E98" s="1063" t="s">
        <v>844</v>
      </c>
      <c r="F98" s="1064"/>
      <c r="G98" s="1063" t="s">
        <v>780</v>
      </c>
      <c r="H98" s="1065">
        <v>-171443115.13999999</v>
      </c>
      <c r="I98" s="1066" t="s">
        <v>160</v>
      </c>
      <c r="J98" s="1067" t="str">
        <f t="shared" ref="J98:J99" si="19">IF(I98="e",H98," ")</f>
        <v xml:space="preserve"> </v>
      </c>
      <c r="K98" s="1036" t="str">
        <f t="shared" si="8"/>
        <v xml:space="preserve"> </v>
      </c>
      <c r="L98" s="1036">
        <f t="shared" si="9"/>
        <v>-171443115.13999999</v>
      </c>
      <c r="M98" s="1067" t="str">
        <f t="shared" si="10"/>
        <v xml:space="preserve"> </v>
      </c>
      <c r="N98" s="1067" t="str">
        <f t="shared" si="16"/>
        <v xml:space="preserve"> </v>
      </c>
    </row>
    <row r="99" spans="3:15">
      <c r="C99" s="1072"/>
      <c r="D99" s="1069"/>
      <c r="E99" s="1072"/>
      <c r="G99" s="1072"/>
      <c r="H99" s="1073"/>
      <c r="I99" s="1071"/>
      <c r="J99" s="1067" t="str">
        <f t="shared" si="19"/>
        <v xml:space="preserve"> </v>
      </c>
      <c r="K99" s="1036" t="str">
        <f t="shared" si="8"/>
        <v xml:space="preserve"> </v>
      </c>
      <c r="L99" s="1036" t="str">
        <f t="shared" si="9"/>
        <v xml:space="preserve"> </v>
      </c>
      <c r="M99" s="1067" t="str">
        <f t="shared" si="10"/>
        <v xml:space="preserve"> </v>
      </c>
      <c r="N99" s="1067" t="str">
        <f t="shared" si="16"/>
        <v xml:space="preserve"> </v>
      </c>
    </row>
    <row r="100" spans="3:15">
      <c r="C100" s="1072"/>
      <c r="D100" s="1069"/>
      <c r="E100" s="1072"/>
      <c r="G100" s="1063"/>
      <c r="H100" s="1065"/>
      <c r="I100" s="1066"/>
      <c r="J100" s="1065"/>
      <c r="K100" s="1065"/>
      <c r="L100" s="1065"/>
      <c r="M100" s="1065"/>
      <c r="N100" s="1065"/>
    </row>
    <row r="101" spans="3:15">
      <c r="D101" s="1023"/>
      <c r="H101" s="1036"/>
      <c r="I101" s="1036"/>
      <c r="J101" s="1081" t="str">
        <f>IF(I101="e",H101," ")</f>
        <v xml:space="preserve"> </v>
      </c>
      <c r="K101" s="1081"/>
      <c r="L101" s="1081" t="str">
        <f>IF($I101="PTD",$H101," ")</f>
        <v xml:space="preserve"> </v>
      </c>
      <c r="M101" s="1081" t="str">
        <f>IF($I101="T&amp;D",$H101," ")</f>
        <v xml:space="preserve"> </v>
      </c>
      <c r="N101" s="1081" t="str">
        <f>IF(I101="Labor",H101," ")</f>
        <v xml:space="preserve"> </v>
      </c>
    </row>
    <row r="102" spans="3:15">
      <c r="C102" s="1058">
        <v>283.10000000000002</v>
      </c>
      <c r="D102" s="1023"/>
      <c r="G102" s="1077" t="s">
        <v>161</v>
      </c>
      <c r="H102" s="1093">
        <f>SUM(H56:H101)</f>
        <v>-238075600.33999997</v>
      </c>
      <c r="I102" s="1036"/>
      <c r="J102" s="1093">
        <f>SUM(J56:J101)</f>
        <v>-45313859.752370454</v>
      </c>
      <c r="K102" s="1093">
        <f>SUM(K56:K101)</f>
        <v>6534881.432370441</v>
      </c>
      <c r="L102" s="1093">
        <f>SUM(L56:L101)</f>
        <v>-180535210.95999998</v>
      </c>
      <c r="M102" s="1093">
        <f>SUM(M56:M101)</f>
        <v>0.20999999999999996</v>
      </c>
      <c r="N102" s="1093">
        <f>SUM(N56:N101)</f>
        <v>-18761411.270000003</v>
      </c>
      <c r="O102" s="1068"/>
    </row>
    <row r="103" spans="3:15" ht="25.5" customHeight="1">
      <c r="C103" s="1094"/>
      <c r="D103" s="1023"/>
      <c r="G103" s="1079" t="s">
        <v>111</v>
      </c>
      <c r="H103" s="1073">
        <v>-238075600</v>
      </c>
      <c r="I103" s="1036"/>
      <c r="J103" s="1080"/>
      <c r="K103" s="1095"/>
      <c r="L103" s="1095"/>
      <c r="M103" s="1095"/>
      <c r="N103" s="1095"/>
    </row>
    <row r="104" spans="3:15">
      <c r="G104" s="1096"/>
      <c r="H104" s="1081"/>
      <c r="I104" s="1036"/>
      <c r="J104" s="1036"/>
      <c r="K104" s="1036"/>
      <c r="L104" s="1036"/>
      <c r="M104" s="1036"/>
      <c r="N104" s="1036"/>
    </row>
    <row r="105" spans="3:15">
      <c r="H105" s="1081"/>
      <c r="I105" s="1036"/>
      <c r="J105" s="1036"/>
      <c r="K105" s="1036"/>
      <c r="L105" s="1036"/>
      <c r="M105" s="1036"/>
      <c r="N105" s="1036"/>
    </row>
    <row r="106" spans="3:15">
      <c r="C106" s="1061" t="s">
        <v>689</v>
      </c>
      <c r="D106" s="1097" t="s">
        <v>339</v>
      </c>
      <c r="E106" s="1063" t="s">
        <v>690</v>
      </c>
      <c r="F106" s="1064"/>
      <c r="G106" s="1063" t="s">
        <v>691</v>
      </c>
      <c r="H106" s="1065">
        <v>-659755</v>
      </c>
      <c r="I106" s="1066" t="s">
        <v>293</v>
      </c>
      <c r="J106" s="1067">
        <f t="shared" ref="J106:J161" si="20">IF(I106="e",H106," ")</f>
        <v>-659755</v>
      </c>
      <c r="K106" s="1036" t="str">
        <f t="shared" ref="K106:K161" si="21">IF($I106="T",$H106," ")</f>
        <v xml:space="preserve"> </v>
      </c>
      <c r="L106" s="1036" t="str">
        <f t="shared" ref="L106:L161" si="22">IF($I106="PTD",$H106," ")</f>
        <v xml:space="preserve"> </v>
      </c>
      <c r="M106" s="1067" t="str">
        <f t="shared" ref="M106:M161" si="23">IF($I106="T&amp;D",$H106," ")</f>
        <v xml:space="preserve"> </v>
      </c>
      <c r="N106" s="1067" t="str">
        <f t="shared" ref="N106:N161" si="24">IF(I106="Labor",H106," ")</f>
        <v xml:space="preserve"> </v>
      </c>
    </row>
    <row r="107" spans="3:15">
      <c r="C107" s="1061" t="s">
        <v>689</v>
      </c>
      <c r="D107" s="1097" t="s">
        <v>339</v>
      </c>
      <c r="E107" s="1063" t="s">
        <v>845</v>
      </c>
      <c r="F107" s="1064"/>
      <c r="G107" s="1063" t="s">
        <v>692</v>
      </c>
      <c r="H107" s="1065">
        <v>659755</v>
      </c>
      <c r="I107" s="1066" t="s">
        <v>293</v>
      </c>
      <c r="J107" s="1067">
        <f>IF(I107="e",H107," ")</f>
        <v>659755</v>
      </c>
      <c r="K107" s="1036" t="str">
        <f t="shared" si="21"/>
        <v xml:space="preserve"> </v>
      </c>
      <c r="L107" s="1036" t="str">
        <f t="shared" si="22"/>
        <v xml:space="preserve"> </v>
      </c>
      <c r="M107" s="1067" t="str">
        <f t="shared" si="23"/>
        <v xml:space="preserve"> </v>
      </c>
      <c r="N107" s="1067" t="str">
        <f>IF(I107="Labor",H107," ")</f>
        <v xml:space="preserve"> </v>
      </c>
    </row>
    <row r="108" spans="3:15">
      <c r="C108" s="1061" t="s">
        <v>689</v>
      </c>
      <c r="D108" s="1097" t="s">
        <v>339</v>
      </c>
      <c r="E108" s="1063" t="s">
        <v>1040</v>
      </c>
      <c r="F108" s="1064"/>
      <c r="G108" s="1063" t="s">
        <v>1070</v>
      </c>
      <c r="H108" s="1065">
        <v>4621541.259999997</v>
      </c>
      <c r="I108" s="1066" t="s">
        <v>293</v>
      </c>
      <c r="J108" s="1067">
        <f t="shared" si="20"/>
        <v>4621541.259999997</v>
      </c>
      <c r="K108" s="1036" t="str">
        <f t="shared" si="21"/>
        <v xml:space="preserve"> </v>
      </c>
      <c r="L108" s="1036" t="str">
        <f t="shared" si="22"/>
        <v xml:space="preserve"> </v>
      </c>
      <c r="M108" s="1067" t="str">
        <f t="shared" si="23"/>
        <v xml:space="preserve"> </v>
      </c>
      <c r="N108" s="1067" t="str">
        <f t="shared" si="24"/>
        <v xml:space="preserve"> </v>
      </c>
    </row>
    <row r="109" spans="3:15">
      <c r="C109" s="1061" t="s">
        <v>689</v>
      </c>
      <c r="D109" s="1097" t="s">
        <v>339</v>
      </c>
      <c r="E109" s="1063" t="s">
        <v>1071</v>
      </c>
      <c r="F109" s="1064"/>
      <c r="G109" s="1063" t="s">
        <v>1072</v>
      </c>
      <c r="H109" s="1065">
        <v>0.33999999932711944</v>
      </c>
      <c r="I109" s="1066" t="s">
        <v>293</v>
      </c>
      <c r="J109" s="1067">
        <f t="shared" si="20"/>
        <v>0.33999999932711944</v>
      </c>
      <c r="K109" s="1036" t="str">
        <f t="shared" si="21"/>
        <v xml:space="preserve"> </v>
      </c>
      <c r="L109" s="1036" t="str">
        <f t="shared" si="22"/>
        <v xml:space="preserve"> </v>
      </c>
      <c r="M109" s="1067" t="str">
        <f t="shared" si="23"/>
        <v xml:space="preserve"> </v>
      </c>
      <c r="N109" s="1067" t="str">
        <f t="shared" si="24"/>
        <v xml:space="preserve"> </v>
      </c>
    </row>
    <row r="110" spans="3:15">
      <c r="C110" s="1061" t="s">
        <v>689</v>
      </c>
      <c r="D110" s="1097" t="s">
        <v>339</v>
      </c>
      <c r="E110" s="1063" t="s">
        <v>701</v>
      </c>
      <c r="F110" s="1064"/>
      <c r="G110" s="1063" t="s">
        <v>702</v>
      </c>
      <c r="H110" s="1065">
        <v>3281107.46</v>
      </c>
      <c r="I110" s="1066" t="s">
        <v>293</v>
      </c>
      <c r="J110" s="1067">
        <f t="shared" si="20"/>
        <v>3281107.46</v>
      </c>
      <c r="K110" s="1036" t="str">
        <f t="shared" si="21"/>
        <v xml:space="preserve"> </v>
      </c>
      <c r="L110" s="1036" t="str">
        <f t="shared" si="22"/>
        <v xml:space="preserve"> </v>
      </c>
      <c r="M110" s="1067" t="str">
        <f t="shared" si="23"/>
        <v xml:space="preserve"> </v>
      </c>
      <c r="N110" s="1067" t="str">
        <f t="shared" si="24"/>
        <v xml:space="preserve"> </v>
      </c>
    </row>
    <row r="111" spans="3:15">
      <c r="C111" s="1061" t="s">
        <v>689</v>
      </c>
      <c r="D111" s="1097" t="s">
        <v>339</v>
      </c>
      <c r="E111" s="1063" t="s">
        <v>703</v>
      </c>
      <c r="F111" s="1064"/>
      <c r="G111" s="1063" t="s">
        <v>704</v>
      </c>
      <c r="H111" s="1065">
        <v>1702155.2799999998</v>
      </c>
      <c r="I111" s="1066" t="s">
        <v>160</v>
      </c>
      <c r="J111" s="1067" t="str">
        <f t="shared" si="20"/>
        <v xml:space="preserve"> </v>
      </c>
      <c r="K111" s="1036" t="str">
        <f t="shared" si="21"/>
        <v xml:space="preserve"> </v>
      </c>
      <c r="L111" s="1036">
        <f t="shared" si="22"/>
        <v>1702155.2799999998</v>
      </c>
      <c r="M111" s="1067" t="str">
        <f t="shared" si="23"/>
        <v xml:space="preserve"> </v>
      </c>
      <c r="N111" s="1067" t="str">
        <f t="shared" si="24"/>
        <v xml:space="preserve"> </v>
      </c>
    </row>
    <row r="112" spans="3:15">
      <c r="C112" s="1061" t="s">
        <v>689</v>
      </c>
      <c r="D112" s="1097"/>
      <c r="E112" s="1063" t="s">
        <v>1454</v>
      </c>
      <c r="F112" s="1064"/>
      <c r="G112" s="1063" t="s">
        <v>1456</v>
      </c>
      <c r="H112" s="1065">
        <v>639465.32999999984</v>
      </c>
      <c r="I112" s="1066" t="s">
        <v>293</v>
      </c>
      <c r="J112" s="1067">
        <f t="shared" ref="J112:J113" si="25">IF(I112="e",H112," ")</f>
        <v>639465.32999999984</v>
      </c>
      <c r="K112" s="1036" t="str">
        <f t="shared" si="21"/>
        <v xml:space="preserve"> </v>
      </c>
      <c r="L112" s="1036" t="str">
        <f t="shared" si="22"/>
        <v xml:space="preserve"> </v>
      </c>
      <c r="M112" s="1067" t="str">
        <f t="shared" si="23"/>
        <v xml:space="preserve"> </v>
      </c>
      <c r="N112" s="1067" t="str">
        <f t="shared" ref="N112:N113" si="26">IF(I112="Labor",H112," ")</f>
        <v xml:space="preserve"> </v>
      </c>
    </row>
    <row r="113" spans="3:14">
      <c r="C113" s="1061" t="s">
        <v>689</v>
      </c>
      <c r="D113" s="1097"/>
      <c r="E113" s="1063" t="s">
        <v>1455</v>
      </c>
      <c r="F113" s="1064"/>
      <c r="G113" s="1063" t="s">
        <v>1457</v>
      </c>
      <c r="H113" s="1065">
        <v>539956.61</v>
      </c>
      <c r="I113" s="1066" t="s">
        <v>293</v>
      </c>
      <c r="J113" s="1067">
        <f t="shared" si="25"/>
        <v>539956.61</v>
      </c>
      <c r="K113" s="1036" t="str">
        <f t="shared" si="21"/>
        <v xml:space="preserve"> </v>
      </c>
      <c r="L113" s="1036" t="str">
        <f t="shared" si="22"/>
        <v xml:space="preserve"> </v>
      </c>
      <c r="M113" s="1067" t="str">
        <f t="shared" si="23"/>
        <v xml:space="preserve"> </v>
      </c>
      <c r="N113" s="1067" t="str">
        <f t="shared" si="26"/>
        <v xml:space="preserve"> </v>
      </c>
    </row>
    <row r="114" spans="3:14">
      <c r="C114" s="1061" t="s">
        <v>689</v>
      </c>
      <c r="D114" s="1097" t="s">
        <v>339</v>
      </c>
      <c r="E114" s="1063" t="s">
        <v>705</v>
      </c>
      <c r="F114" s="1064"/>
      <c r="G114" s="1063" t="s">
        <v>706</v>
      </c>
      <c r="H114" s="1065">
        <v>-0.41999999999461579</v>
      </c>
      <c r="I114" s="1066" t="s">
        <v>293</v>
      </c>
      <c r="J114" s="1067">
        <f t="shared" si="20"/>
        <v>-0.41999999999461579</v>
      </c>
      <c r="K114" s="1036" t="str">
        <f t="shared" si="21"/>
        <v xml:space="preserve"> </v>
      </c>
      <c r="L114" s="1036" t="str">
        <f t="shared" si="22"/>
        <v xml:space="preserve"> </v>
      </c>
      <c r="M114" s="1067" t="str">
        <f t="shared" si="23"/>
        <v xml:space="preserve"> </v>
      </c>
      <c r="N114" s="1067" t="str">
        <f t="shared" si="24"/>
        <v xml:space="preserve"> </v>
      </c>
    </row>
    <row r="115" spans="3:14">
      <c r="C115" s="1061" t="s">
        <v>689</v>
      </c>
      <c r="D115" s="1097" t="s">
        <v>339</v>
      </c>
      <c r="E115" s="1063" t="s">
        <v>707</v>
      </c>
      <c r="F115" s="1064"/>
      <c r="G115" s="1063" t="s">
        <v>708</v>
      </c>
      <c r="H115" s="1065">
        <v>136970.5</v>
      </c>
      <c r="I115" s="1066" t="s">
        <v>302</v>
      </c>
      <c r="J115" s="1067" t="str">
        <f t="shared" si="20"/>
        <v xml:space="preserve"> </v>
      </c>
      <c r="K115" s="1036" t="str">
        <f t="shared" si="21"/>
        <v xml:space="preserve"> </v>
      </c>
      <c r="L115" s="1036" t="str">
        <f t="shared" si="22"/>
        <v xml:space="preserve"> </v>
      </c>
      <c r="M115" s="1067" t="str">
        <f t="shared" si="23"/>
        <v xml:space="preserve"> </v>
      </c>
      <c r="N115" s="1067">
        <f t="shared" si="24"/>
        <v>136970.5</v>
      </c>
    </row>
    <row r="116" spans="3:14">
      <c r="C116" s="1061" t="s">
        <v>689</v>
      </c>
      <c r="D116" s="1097" t="s">
        <v>339</v>
      </c>
      <c r="E116" s="1063" t="s">
        <v>709</v>
      </c>
      <c r="F116" s="1064"/>
      <c r="G116" s="1063" t="s">
        <v>710</v>
      </c>
      <c r="H116" s="1065">
        <v>334686.08999999997</v>
      </c>
      <c r="I116" s="1066" t="s">
        <v>302</v>
      </c>
      <c r="J116" s="1067" t="str">
        <f t="shared" si="20"/>
        <v xml:space="preserve"> </v>
      </c>
      <c r="K116" s="1036" t="str">
        <f t="shared" si="21"/>
        <v xml:space="preserve"> </v>
      </c>
      <c r="L116" s="1036" t="str">
        <f t="shared" si="22"/>
        <v xml:space="preserve"> </v>
      </c>
      <c r="M116" s="1067" t="str">
        <f t="shared" si="23"/>
        <v xml:space="preserve"> </v>
      </c>
      <c r="N116" s="1067">
        <f t="shared" si="24"/>
        <v>334686.08999999997</v>
      </c>
    </row>
    <row r="117" spans="3:14">
      <c r="C117" s="1061" t="s">
        <v>689</v>
      </c>
      <c r="D117" s="1097" t="s">
        <v>339</v>
      </c>
      <c r="E117" s="1063" t="s">
        <v>711</v>
      </c>
      <c r="F117" s="1064"/>
      <c r="G117" s="1063" t="s">
        <v>712</v>
      </c>
      <c r="H117" s="1065">
        <v>147974.19000000006</v>
      </c>
      <c r="I117" s="1066" t="s">
        <v>293</v>
      </c>
      <c r="J117" s="1067">
        <f t="shared" si="20"/>
        <v>147974.19000000006</v>
      </c>
      <c r="K117" s="1036" t="str">
        <f t="shared" si="21"/>
        <v xml:space="preserve"> </v>
      </c>
      <c r="L117" s="1036" t="str">
        <f t="shared" si="22"/>
        <v xml:space="preserve"> </v>
      </c>
      <c r="M117" s="1067" t="str">
        <f t="shared" si="23"/>
        <v xml:space="preserve"> </v>
      </c>
      <c r="N117" s="1067" t="str">
        <f t="shared" si="24"/>
        <v xml:space="preserve"> </v>
      </c>
    </row>
    <row r="118" spans="3:14">
      <c r="C118" s="1061" t="s">
        <v>689</v>
      </c>
      <c r="D118" s="1097" t="s">
        <v>339</v>
      </c>
      <c r="E118" s="1063" t="s">
        <v>713</v>
      </c>
      <c r="F118" s="1064"/>
      <c r="G118" s="1063" t="s">
        <v>714</v>
      </c>
      <c r="H118" s="1065">
        <v>121082.63000000003</v>
      </c>
      <c r="I118" s="1066" t="s">
        <v>302</v>
      </c>
      <c r="J118" s="1067" t="str">
        <f t="shared" si="20"/>
        <v xml:space="preserve"> </v>
      </c>
      <c r="K118" s="1036" t="str">
        <f t="shared" si="21"/>
        <v xml:space="preserve"> </v>
      </c>
      <c r="L118" s="1036" t="str">
        <f t="shared" si="22"/>
        <v xml:space="preserve"> </v>
      </c>
      <c r="M118" s="1067" t="str">
        <f t="shared" si="23"/>
        <v xml:space="preserve"> </v>
      </c>
      <c r="N118" s="1067">
        <f t="shared" si="24"/>
        <v>121082.63000000003</v>
      </c>
    </row>
    <row r="119" spans="3:14">
      <c r="C119" s="1061" t="s">
        <v>689</v>
      </c>
      <c r="D119" s="1097" t="s">
        <v>339</v>
      </c>
      <c r="E119" s="1063" t="s">
        <v>715</v>
      </c>
      <c r="F119" s="1064"/>
      <c r="G119" s="1063" t="s">
        <v>716</v>
      </c>
      <c r="H119" s="1065">
        <v>8.0000000000000016E-2</v>
      </c>
      <c r="I119" s="1066" t="s">
        <v>293</v>
      </c>
      <c r="J119" s="1067">
        <f t="shared" si="20"/>
        <v>8.0000000000000016E-2</v>
      </c>
      <c r="K119" s="1036" t="str">
        <f t="shared" si="21"/>
        <v xml:space="preserve"> </v>
      </c>
      <c r="L119" s="1036" t="str">
        <f t="shared" si="22"/>
        <v xml:space="preserve"> </v>
      </c>
      <c r="M119" s="1067" t="str">
        <f t="shared" si="23"/>
        <v xml:space="preserve"> </v>
      </c>
      <c r="N119" s="1067" t="str">
        <f t="shared" si="24"/>
        <v xml:space="preserve"> </v>
      </c>
    </row>
    <row r="120" spans="3:14">
      <c r="C120" s="1061" t="s">
        <v>689</v>
      </c>
      <c r="D120" s="1097" t="s">
        <v>339</v>
      </c>
      <c r="E120" s="1063" t="s">
        <v>719</v>
      </c>
      <c r="F120" s="1064"/>
      <c r="G120" s="1063" t="s">
        <v>720</v>
      </c>
      <c r="H120" s="1065">
        <v>160844.48999999996</v>
      </c>
      <c r="I120" s="1066" t="s">
        <v>302</v>
      </c>
      <c r="J120" s="1067" t="str">
        <f t="shared" si="20"/>
        <v xml:space="preserve"> </v>
      </c>
      <c r="K120" s="1036" t="str">
        <f t="shared" si="21"/>
        <v xml:space="preserve"> </v>
      </c>
      <c r="L120" s="1036" t="str">
        <f t="shared" si="22"/>
        <v xml:space="preserve"> </v>
      </c>
      <c r="M120" s="1067" t="str">
        <f t="shared" si="23"/>
        <v xml:space="preserve"> </v>
      </c>
      <c r="N120" s="1067">
        <f t="shared" si="24"/>
        <v>160844.48999999996</v>
      </c>
    </row>
    <row r="121" spans="3:14">
      <c r="C121" s="1061" t="s">
        <v>689</v>
      </c>
      <c r="D121" s="1097" t="s">
        <v>339</v>
      </c>
      <c r="E121" s="1063" t="s">
        <v>721</v>
      </c>
      <c r="F121" s="1064"/>
      <c r="G121" s="1063" t="s">
        <v>722</v>
      </c>
      <c r="H121" s="1065">
        <v>394590.10999999993</v>
      </c>
      <c r="I121" s="1066" t="s">
        <v>293</v>
      </c>
      <c r="J121" s="1067">
        <f t="shared" si="20"/>
        <v>394590.10999999993</v>
      </c>
      <c r="K121" s="1036" t="str">
        <f t="shared" si="21"/>
        <v xml:space="preserve"> </v>
      </c>
      <c r="L121" s="1036" t="str">
        <f t="shared" si="22"/>
        <v xml:space="preserve"> </v>
      </c>
      <c r="M121" s="1067" t="str">
        <f t="shared" si="23"/>
        <v xml:space="preserve"> </v>
      </c>
      <c r="N121" s="1067" t="str">
        <f t="shared" si="24"/>
        <v xml:space="preserve"> </v>
      </c>
    </row>
    <row r="122" spans="3:14">
      <c r="C122" s="1061" t="s">
        <v>689</v>
      </c>
      <c r="D122" s="1097" t="s">
        <v>339</v>
      </c>
      <c r="E122" s="1063" t="s">
        <v>723</v>
      </c>
      <c r="F122" s="1064"/>
      <c r="G122" s="1063" t="s">
        <v>724</v>
      </c>
      <c r="H122" s="1065">
        <v>10897.029999999999</v>
      </c>
      <c r="I122" s="1066" t="s">
        <v>293</v>
      </c>
      <c r="J122" s="1067">
        <f t="shared" si="20"/>
        <v>10897.029999999999</v>
      </c>
      <c r="K122" s="1036" t="str">
        <f t="shared" si="21"/>
        <v xml:space="preserve"> </v>
      </c>
      <c r="L122" s="1036" t="str">
        <f t="shared" si="22"/>
        <v xml:space="preserve"> </v>
      </c>
      <c r="M122" s="1067" t="str">
        <f t="shared" si="23"/>
        <v xml:space="preserve"> </v>
      </c>
      <c r="N122" s="1067" t="str">
        <f t="shared" si="24"/>
        <v xml:space="preserve"> </v>
      </c>
    </row>
    <row r="123" spans="3:14">
      <c r="C123" s="1061" t="s">
        <v>689</v>
      </c>
      <c r="D123" s="1097" t="s">
        <v>339</v>
      </c>
      <c r="E123" s="1063" t="s">
        <v>731</v>
      </c>
      <c r="F123" s="1064"/>
      <c r="G123" s="1063" t="s">
        <v>732</v>
      </c>
      <c r="H123" s="1065">
        <v>0</v>
      </c>
      <c r="I123" s="1066" t="s">
        <v>302</v>
      </c>
      <c r="J123" s="1067" t="str">
        <f t="shared" si="20"/>
        <v xml:space="preserve"> </v>
      </c>
      <c r="K123" s="1036" t="str">
        <f t="shared" si="21"/>
        <v xml:space="preserve"> </v>
      </c>
      <c r="L123" s="1036" t="str">
        <f t="shared" si="22"/>
        <v xml:space="preserve"> </v>
      </c>
      <c r="M123" s="1067" t="str">
        <f t="shared" si="23"/>
        <v xml:space="preserve"> </v>
      </c>
      <c r="N123" s="1067">
        <f t="shared" si="24"/>
        <v>0</v>
      </c>
    </row>
    <row r="124" spans="3:14">
      <c r="C124" s="1061" t="s">
        <v>689</v>
      </c>
      <c r="D124" s="1097" t="s">
        <v>339</v>
      </c>
      <c r="E124" s="1063" t="s">
        <v>735</v>
      </c>
      <c r="F124" s="1064"/>
      <c r="G124" s="1063" t="s">
        <v>736</v>
      </c>
      <c r="H124" s="1065">
        <v>2330258.0599999996</v>
      </c>
      <c r="I124" s="1066" t="s">
        <v>302</v>
      </c>
      <c r="J124" s="1067" t="str">
        <f>IF(I124="e",H124," ")</f>
        <v xml:space="preserve"> </v>
      </c>
      <c r="K124" s="1036" t="str">
        <f t="shared" si="21"/>
        <v xml:space="preserve"> </v>
      </c>
      <c r="L124" s="1036" t="str">
        <f t="shared" si="22"/>
        <v xml:space="preserve"> </v>
      </c>
      <c r="M124" s="1067" t="str">
        <f t="shared" si="23"/>
        <v xml:space="preserve"> </v>
      </c>
      <c r="N124" s="1067">
        <f>IF(I124="Labor",H124," ")</f>
        <v>2330258.0599999996</v>
      </c>
    </row>
    <row r="125" spans="3:14">
      <c r="C125" s="1061" t="s">
        <v>689</v>
      </c>
      <c r="D125" s="1097" t="s">
        <v>339</v>
      </c>
      <c r="E125" s="1063" t="s">
        <v>739</v>
      </c>
      <c r="F125" s="1064"/>
      <c r="G125" s="1063" t="s">
        <v>740</v>
      </c>
      <c r="H125" s="1065">
        <v>1593603.7299999995</v>
      </c>
      <c r="I125" s="1066" t="s">
        <v>302</v>
      </c>
      <c r="J125" s="1067" t="str">
        <f t="shared" si="20"/>
        <v xml:space="preserve"> </v>
      </c>
      <c r="K125" s="1036" t="str">
        <f t="shared" si="21"/>
        <v xml:space="preserve"> </v>
      </c>
      <c r="L125" s="1036" t="str">
        <f t="shared" si="22"/>
        <v xml:space="preserve"> </v>
      </c>
      <c r="M125" s="1067" t="str">
        <f t="shared" si="23"/>
        <v xml:space="preserve"> </v>
      </c>
      <c r="N125" s="1067">
        <f t="shared" si="24"/>
        <v>1593603.7299999995</v>
      </c>
    </row>
    <row r="126" spans="3:14">
      <c r="C126" s="1061" t="s">
        <v>689</v>
      </c>
      <c r="D126" s="1097" t="s">
        <v>339</v>
      </c>
      <c r="E126" s="1063" t="s">
        <v>1073</v>
      </c>
      <c r="F126" s="1064"/>
      <c r="G126" s="1063" t="s">
        <v>1074</v>
      </c>
      <c r="H126" s="1065">
        <v>136810.69999999984</v>
      </c>
      <c r="I126" s="1066" t="s">
        <v>302</v>
      </c>
      <c r="J126" s="1067" t="str">
        <f t="shared" si="20"/>
        <v xml:space="preserve"> </v>
      </c>
      <c r="K126" s="1036" t="str">
        <f t="shared" si="21"/>
        <v xml:space="preserve"> </v>
      </c>
      <c r="L126" s="1036" t="str">
        <f t="shared" si="22"/>
        <v xml:space="preserve"> </v>
      </c>
      <c r="M126" s="1067" t="str">
        <f t="shared" si="23"/>
        <v xml:space="preserve"> </v>
      </c>
      <c r="N126" s="1067">
        <f t="shared" si="24"/>
        <v>136810.69999999984</v>
      </c>
    </row>
    <row r="127" spans="3:14">
      <c r="C127" s="1061" t="s">
        <v>689</v>
      </c>
      <c r="D127" s="1097" t="s">
        <v>339</v>
      </c>
      <c r="E127" s="1063" t="s">
        <v>745</v>
      </c>
      <c r="F127" s="1064"/>
      <c r="G127" s="1063" t="s">
        <v>746</v>
      </c>
      <c r="H127" s="1065">
        <v>56314.929999999993</v>
      </c>
      <c r="I127" s="1066" t="s">
        <v>293</v>
      </c>
      <c r="J127" s="1067">
        <f t="shared" si="20"/>
        <v>56314.929999999993</v>
      </c>
      <c r="K127" s="1036" t="str">
        <f t="shared" si="21"/>
        <v xml:space="preserve"> </v>
      </c>
      <c r="L127" s="1036" t="str">
        <f t="shared" si="22"/>
        <v xml:space="preserve"> </v>
      </c>
      <c r="M127" s="1067" t="str">
        <f t="shared" si="23"/>
        <v xml:space="preserve"> </v>
      </c>
      <c r="N127" s="1067" t="str">
        <f t="shared" si="24"/>
        <v xml:space="preserve"> </v>
      </c>
    </row>
    <row r="128" spans="3:14">
      <c r="C128" s="1061" t="s">
        <v>689</v>
      </c>
      <c r="D128" s="1097" t="s">
        <v>339</v>
      </c>
      <c r="E128" s="1063" t="s">
        <v>846</v>
      </c>
      <c r="F128" s="1064"/>
      <c r="G128" s="1063" t="s">
        <v>747</v>
      </c>
      <c r="H128" s="1065">
        <v>-716494.83000000007</v>
      </c>
      <c r="I128" s="1066" t="s">
        <v>293</v>
      </c>
      <c r="J128" s="1067">
        <f t="shared" si="20"/>
        <v>-716494.83000000007</v>
      </c>
      <c r="K128" s="1036" t="str">
        <f t="shared" si="21"/>
        <v xml:space="preserve"> </v>
      </c>
      <c r="L128" s="1036" t="str">
        <f t="shared" si="22"/>
        <v xml:space="preserve"> </v>
      </c>
      <c r="M128" s="1067" t="str">
        <f t="shared" si="23"/>
        <v xml:space="preserve"> </v>
      </c>
      <c r="N128" s="1067" t="str">
        <f t="shared" si="24"/>
        <v xml:space="preserve"> </v>
      </c>
    </row>
    <row r="129" spans="3:14">
      <c r="C129" s="1061" t="s">
        <v>689</v>
      </c>
      <c r="D129" s="1097" t="s">
        <v>339</v>
      </c>
      <c r="E129" s="1063" t="s">
        <v>748</v>
      </c>
      <c r="F129" s="1064"/>
      <c r="G129" s="1063" t="s">
        <v>749</v>
      </c>
      <c r="H129" s="1065">
        <v>605419.80000000005</v>
      </c>
      <c r="I129" s="1066" t="s">
        <v>293</v>
      </c>
      <c r="J129" s="1067">
        <f t="shared" si="20"/>
        <v>605419.80000000005</v>
      </c>
      <c r="K129" s="1036" t="str">
        <f t="shared" si="21"/>
        <v xml:space="preserve"> </v>
      </c>
      <c r="L129" s="1036" t="str">
        <f t="shared" si="22"/>
        <v xml:space="preserve"> </v>
      </c>
      <c r="M129" s="1067" t="str">
        <f t="shared" si="23"/>
        <v xml:space="preserve"> </v>
      </c>
      <c r="N129" s="1067" t="str">
        <f t="shared" si="24"/>
        <v xml:space="preserve"> </v>
      </c>
    </row>
    <row r="130" spans="3:14">
      <c r="C130" s="1061" t="s">
        <v>689</v>
      </c>
      <c r="D130" s="1097" t="s">
        <v>339</v>
      </c>
      <c r="E130" s="1063" t="s">
        <v>1013</v>
      </c>
      <c r="F130" s="1064"/>
      <c r="G130" s="1063" t="s">
        <v>751</v>
      </c>
      <c r="H130" s="1065">
        <v>-24096.03</v>
      </c>
      <c r="I130" s="1066" t="s">
        <v>293</v>
      </c>
      <c r="J130" s="1067">
        <f t="shared" si="20"/>
        <v>-24096.03</v>
      </c>
      <c r="K130" s="1036" t="str">
        <f t="shared" si="21"/>
        <v xml:space="preserve"> </v>
      </c>
      <c r="L130" s="1036" t="str">
        <f t="shared" si="22"/>
        <v xml:space="preserve"> </v>
      </c>
      <c r="M130" s="1067" t="str">
        <f t="shared" si="23"/>
        <v xml:space="preserve"> </v>
      </c>
      <c r="N130" s="1067" t="str">
        <f t="shared" si="24"/>
        <v xml:space="preserve"> </v>
      </c>
    </row>
    <row r="131" spans="3:14">
      <c r="C131" s="1061" t="s">
        <v>689</v>
      </c>
      <c r="D131" s="1097" t="s">
        <v>339</v>
      </c>
      <c r="E131" s="1063" t="s">
        <v>752</v>
      </c>
      <c r="F131" s="1064"/>
      <c r="G131" s="1063" t="s">
        <v>753</v>
      </c>
      <c r="H131" s="1065">
        <v>-123947.87999999999</v>
      </c>
      <c r="I131" s="1066" t="s">
        <v>293</v>
      </c>
      <c r="J131" s="1067">
        <f t="shared" si="20"/>
        <v>-123947.87999999999</v>
      </c>
      <c r="K131" s="1036" t="str">
        <f t="shared" si="21"/>
        <v xml:space="preserve"> </v>
      </c>
      <c r="L131" s="1036" t="str">
        <f t="shared" si="22"/>
        <v xml:space="preserve"> </v>
      </c>
      <c r="M131" s="1067" t="str">
        <f t="shared" si="23"/>
        <v xml:space="preserve"> </v>
      </c>
      <c r="N131" s="1067" t="str">
        <f t="shared" si="24"/>
        <v xml:space="preserve"> </v>
      </c>
    </row>
    <row r="132" spans="3:14">
      <c r="C132" s="1061" t="s">
        <v>689</v>
      </c>
      <c r="D132" s="1097" t="s">
        <v>339</v>
      </c>
      <c r="E132" s="1063" t="s">
        <v>754</v>
      </c>
      <c r="F132" s="1064"/>
      <c r="G132" s="1063" t="s">
        <v>755</v>
      </c>
      <c r="H132" s="1065">
        <v>0</v>
      </c>
      <c r="I132" s="1066" t="s">
        <v>293</v>
      </c>
      <c r="J132" s="1067">
        <f>IF(I132="e",H132," ")</f>
        <v>0</v>
      </c>
      <c r="K132" s="1036" t="str">
        <f t="shared" si="21"/>
        <v xml:space="preserve"> </v>
      </c>
      <c r="L132" s="1036" t="str">
        <f t="shared" si="22"/>
        <v xml:space="preserve"> </v>
      </c>
      <c r="M132" s="1067" t="str">
        <f t="shared" si="23"/>
        <v xml:space="preserve"> </v>
      </c>
      <c r="N132" s="1067" t="str">
        <f>IF(I132="Labor",H132," ")</f>
        <v xml:space="preserve"> </v>
      </c>
    </row>
    <row r="133" spans="3:14">
      <c r="C133" s="1061" t="s">
        <v>689</v>
      </c>
      <c r="D133" s="1097" t="s">
        <v>339</v>
      </c>
      <c r="E133" s="1063" t="s">
        <v>756</v>
      </c>
      <c r="F133" s="1064"/>
      <c r="G133" s="1063" t="s">
        <v>757</v>
      </c>
      <c r="H133" s="1065">
        <v>186960.01000000004</v>
      </c>
      <c r="I133" s="1066" t="s">
        <v>160</v>
      </c>
      <c r="J133" s="1067" t="str">
        <f t="shared" si="20"/>
        <v xml:space="preserve"> </v>
      </c>
      <c r="K133" s="1036" t="str">
        <f t="shared" si="21"/>
        <v xml:space="preserve"> </v>
      </c>
      <c r="L133" s="1036">
        <f t="shared" si="22"/>
        <v>186960.01000000004</v>
      </c>
      <c r="M133" s="1067" t="str">
        <f t="shared" si="23"/>
        <v xml:space="preserve"> </v>
      </c>
      <c r="N133" s="1067" t="str">
        <f t="shared" si="24"/>
        <v xml:space="preserve"> </v>
      </c>
    </row>
    <row r="134" spans="3:14">
      <c r="C134" s="1061" t="s">
        <v>689</v>
      </c>
      <c r="D134" s="1097"/>
      <c r="E134" s="1063" t="s">
        <v>1412</v>
      </c>
      <c r="F134" s="1064"/>
      <c r="G134" s="1063" t="s">
        <v>1414</v>
      </c>
      <c r="H134" s="1065">
        <v>33344.5</v>
      </c>
      <c r="I134" s="1066" t="s">
        <v>293</v>
      </c>
      <c r="J134" s="1067">
        <f t="shared" ref="J134:J135" si="27">IF(I134="e",H134," ")</f>
        <v>33344.5</v>
      </c>
      <c r="K134" s="1036" t="str">
        <f t="shared" si="21"/>
        <v xml:space="preserve"> </v>
      </c>
      <c r="L134" s="1036" t="str">
        <f t="shared" si="22"/>
        <v xml:space="preserve"> </v>
      </c>
      <c r="M134" s="1067" t="str">
        <f t="shared" si="23"/>
        <v xml:space="preserve"> </v>
      </c>
      <c r="N134" s="1067" t="str">
        <f t="shared" ref="N134:N135" si="28">IF(I134="Labor",H134," ")</f>
        <v xml:space="preserve"> </v>
      </c>
    </row>
    <row r="135" spans="3:14">
      <c r="C135" s="1061" t="s">
        <v>689</v>
      </c>
      <c r="D135" s="1097"/>
      <c r="E135" s="1063" t="s">
        <v>1413</v>
      </c>
      <c r="F135" s="1064"/>
      <c r="G135" s="1063" t="s">
        <v>1415</v>
      </c>
      <c r="H135" s="1065">
        <v>36625.170000000013</v>
      </c>
      <c r="I135" s="1066" t="s">
        <v>293</v>
      </c>
      <c r="J135" s="1067">
        <f t="shared" si="27"/>
        <v>36625.170000000013</v>
      </c>
      <c r="K135" s="1036" t="str">
        <f t="shared" si="21"/>
        <v xml:space="preserve"> </v>
      </c>
      <c r="L135" s="1036" t="str">
        <f t="shared" si="22"/>
        <v xml:space="preserve"> </v>
      </c>
      <c r="M135" s="1067" t="str">
        <f t="shared" si="23"/>
        <v xml:space="preserve"> </v>
      </c>
      <c r="N135" s="1067" t="str">
        <f t="shared" si="28"/>
        <v xml:space="preserve"> </v>
      </c>
    </row>
    <row r="136" spans="3:14">
      <c r="C136" s="1061" t="s">
        <v>689</v>
      </c>
      <c r="D136" s="1097" t="s">
        <v>339</v>
      </c>
      <c r="E136" s="1063" t="s">
        <v>764</v>
      </c>
      <c r="F136" s="1064"/>
      <c r="G136" s="1063" t="s">
        <v>765</v>
      </c>
      <c r="H136" s="1065">
        <v>-168581.37</v>
      </c>
      <c r="I136" s="1066" t="s">
        <v>293</v>
      </c>
      <c r="J136" s="1067">
        <f t="shared" si="20"/>
        <v>-168581.37</v>
      </c>
      <c r="K136" s="1036" t="str">
        <f t="shared" si="21"/>
        <v xml:space="preserve"> </v>
      </c>
      <c r="L136" s="1036" t="str">
        <f t="shared" si="22"/>
        <v xml:space="preserve"> </v>
      </c>
      <c r="M136" s="1067" t="str">
        <f t="shared" si="23"/>
        <v xml:space="preserve"> </v>
      </c>
      <c r="N136" s="1067" t="str">
        <f t="shared" si="24"/>
        <v xml:space="preserve"> </v>
      </c>
    </row>
    <row r="137" spans="3:14">
      <c r="C137" s="1061" t="s">
        <v>689</v>
      </c>
      <c r="D137" s="1097" t="s">
        <v>339</v>
      </c>
      <c r="E137" s="1063" t="s">
        <v>1075</v>
      </c>
      <c r="F137" s="1064"/>
      <c r="G137" s="1063" t="s">
        <v>1076</v>
      </c>
      <c r="H137" s="1065">
        <v>0.1</v>
      </c>
      <c r="I137" s="1066" t="s">
        <v>293</v>
      </c>
      <c r="J137" s="1067">
        <f t="shared" si="20"/>
        <v>0.1</v>
      </c>
      <c r="K137" s="1036" t="str">
        <f t="shared" si="21"/>
        <v xml:space="preserve"> </v>
      </c>
      <c r="L137" s="1036" t="str">
        <f t="shared" si="22"/>
        <v xml:space="preserve"> </v>
      </c>
      <c r="M137" s="1067" t="str">
        <f t="shared" si="23"/>
        <v xml:space="preserve"> </v>
      </c>
      <c r="N137" s="1067" t="str">
        <f t="shared" si="24"/>
        <v xml:space="preserve"> </v>
      </c>
    </row>
    <row r="138" spans="3:14">
      <c r="C138" s="1061" t="s">
        <v>689</v>
      </c>
      <c r="D138" s="1097" t="s">
        <v>339</v>
      </c>
      <c r="E138" s="1063" t="s">
        <v>1077</v>
      </c>
      <c r="F138" s="1064"/>
      <c r="G138" s="1063" t="s">
        <v>1078</v>
      </c>
      <c r="H138" s="1065">
        <v>1008.6</v>
      </c>
      <c r="I138" s="1066" t="s">
        <v>160</v>
      </c>
      <c r="J138" s="1067" t="str">
        <f t="shared" si="20"/>
        <v xml:space="preserve"> </v>
      </c>
      <c r="K138" s="1036" t="str">
        <f t="shared" si="21"/>
        <v xml:space="preserve"> </v>
      </c>
      <c r="L138" s="1036">
        <f t="shared" si="22"/>
        <v>1008.6</v>
      </c>
      <c r="M138" s="1067" t="str">
        <f t="shared" si="23"/>
        <v xml:space="preserve"> </v>
      </c>
      <c r="N138" s="1067" t="str">
        <f t="shared" si="24"/>
        <v xml:space="preserve"> </v>
      </c>
    </row>
    <row r="139" spans="3:14">
      <c r="C139" s="1061" t="s">
        <v>689</v>
      </c>
      <c r="D139" s="1097" t="s">
        <v>339</v>
      </c>
      <c r="E139" s="1063" t="s">
        <v>774</v>
      </c>
      <c r="F139" s="1064"/>
      <c r="G139" s="1063" t="s">
        <v>775</v>
      </c>
      <c r="H139" s="1065">
        <v>1413424.7200000002</v>
      </c>
      <c r="I139" s="1066" t="s">
        <v>293</v>
      </c>
      <c r="J139" s="1067">
        <f t="shared" si="20"/>
        <v>1413424.7200000002</v>
      </c>
      <c r="K139" s="1036" t="str">
        <f t="shared" si="21"/>
        <v xml:space="preserve"> </v>
      </c>
      <c r="L139" s="1036" t="str">
        <f t="shared" si="22"/>
        <v xml:space="preserve"> </v>
      </c>
      <c r="M139" s="1067" t="str">
        <f t="shared" si="23"/>
        <v xml:space="preserve"> </v>
      </c>
      <c r="N139" s="1067" t="str">
        <f t="shared" si="24"/>
        <v xml:space="preserve"> </v>
      </c>
    </row>
    <row r="140" spans="3:14">
      <c r="C140" s="1061" t="s">
        <v>689</v>
      </c>
      <c r="D140" s="1097" t="s">
        <v>339</v>
      </c>
      <c r="E140" s="1063" t="s">
        <v>847</v>
      </c>
      <c r="F140" s="1064"/>
      <c r="G140" s="1063" t="s">
        <v>683</v>
      </c>
      <c r="H140" s="1065">
        <v>672069.15</v>
      </c>
      <c r="I140" s="1066" t="s">
        <v>302</v>
      </c>
      <c r="J140" s="1067" t="str">
        <f t="shared" si="20"/>
        <v xml:space="preserve"> </v>
      </c>
      <c r="K140" s="1036" t="str">
        <f t="shared" si="21"/>
        <v xml:space="preserve"> </v>
      </c>
      <c r="L140" s="1036" t="str">
        <f t="shared" si="22"/>
        <v xml:space="preserve"> </v>
      </c>
      <c r="M140" s="1067" t="str">
        <f t="shared" si="23"/>
        <v xml:space="preserve"> </v>
      </c>
      <c r="N140" s="1067">
        <f t="shared" si="24"/>
        <v>672069.15</v>
      </c>
    </row>
    <row r="141" spans="3:14">
      <c r="C141" s="1061" t="s">
        <v>689</v>
      </c>
      <c r="D141" s="1097" t="s">
        <v>339</v>
      </c>
      <c r="E141" s="1063" t="s">
        <v>776</v>
      </c>
      <c r="F141" s="1064"/>
      <c r="G141" s="1063" t="s">
        <v>777</v>
      </c>
      <c r="H141" s="1065">
        <v>9840161.0799999982</v>
      </c>
      <c r="I141" s="1066" t="s">
        <v>293</v>
      </c>
      <c r="J141" s="1067">
        <f t="shared" si="20"/>
        <v>9840161.0799999982</v>
      </c>
      <c r="K141" s="1036" t="str">
        <f t="shared" si="21"/>
        <v xml:space="preserve"> </v>
      </c>
      <c r="L141" s="1036" t="str">
        <f t="shared" si="22"/>
        <v xml:space="preserve"> </v>
      </c>
      <c r="M141" s="1067" t="str">
        <f t="shared" si="23"/>
        <v xml:space="preserve"> </v>
      </c>
      <c r="N141" s="1067" t="str">
        <f t="shared" si="24"/>
        <v xml:space="preserve"> </v>
      </c>
    </row>
    <row r="142" spans="3:14">
      <c r="C142" s="1061" t="s">
        <v>689</v>
      </c>
      <c r="D142" s="1097" t="s">
        <v>339</v>
      </c>
      <c r="E142" s="1063" t="s">
        <v>778</v>
      </c>
      <c r="F142" s="1064"/>
      <c r="G142" s="1063" t="s">
        <v>779</v>
      </c>
      <c r="H142" s="1065">
        <v>162823.92000000001</v>
      </c>
      <c r="I142" s="1066" t="s">
        <v>160</v>
      </c>
      <c r="J142" s="1067" t="str">
        <f t="shared" si="20"/>
        <v xml:space="preserve"> </v>
      </c>
      <c r="K142" s="1036" t="str">
        <f t="shared" si="21"/>
        <v xml:space="preserve"> </v>
      </c>
      <c r="L142" s="1036">
        <f t="shared" si="22"/>
        <v>162823.92000000001</v>
      </c>
      <c r="M142" s="1067" t="str">
        <f t="shared" si="23"/>
        <v xml:space="preserve"> </v>
      </c>
      <c r="N142" s="1067" t="str">
        <f t="shared" si="24"/>
        <v xml:space="preserve"> </v>
      </c>
    </row>
    <row r="143" spans="3:14">
      <c r="C143" s="1061" t="s">
        <v>689</v>
      </c>
      <c r="D143" s="1097" t="s">
        <v>339</v>
      </c>
      <c r="E143" s="1063" t="s">
        <v>1014</v>
      </c>
      <c r="F143" s="1064"/>
      <c r="G143" s="1063" t="s">
        <v>780</v>
      </c>
      <c r="H143" s="1065">
        <v>36003054.18</v>
      </c>
      <c r="I143" s="1066" t="s">
        <v>160</v>
      </c>
      <c r="J143" s="1067" t="str">
        <f t="shared" si="20"/>
        <v xml:space="preserve"> </v>
      </c>
      <c r="K143" s="1036" t="str">
        <f t="shared" si="21"/>
        <v xml:space="preserve"> </v>
      </c>
      <c r="L143" s="1036">
        <f t="shared" si="22"/>
        <v>36003054.18</v>
      </c>
      <c r="M143" s="1067" t="str">
        <f t="shared" si="23"/>
        <v xml:space="preserve"> </v>
      </c>
      <c r="N143" s="1067" t="str">
        <f t="shared" si="24"/>
        <v xml:space="preserve"> </v>
      </c>
    </row>
    <row r="144" spans="3:14">
      <c r="C144" s="1061" t="s">
        <v>689</v>
      </c>
      <c r="D144" s="1097" t="s">
        <v>339</v>
      </c>
      <c r="E144" s="1063" t="s">
        <v>783</v>
      </c>
      <c r="F144" s="1064"/>
      <c r="G144" s="1063" t="s">
        <v>784</v>
      </c>
      <c r="H144" s="1065">
        <v>-558768</v>
      </c>
      <c r="I144" s="1066" t="s">
        <v>293</v>
      </c>
      <c r="J144" s="1067">
        <f t="shared" si="20"/>
        <v>-558768</v>
      </c>
      <c r="K144" s="1036" t="str">
        <f t="shared" si="21"/>
        <v xml:space="preserve"> </v>
      </c>
      <c r="L144" s="1036" t="str">
        <f t="shared" si="22"/>
        <v xml:space="preserve"> </v>
      </c>
      <c r="M144" s="1067" t="str">
        <f t="shared" si="23"/>
        <v xml:space="preserve"> </v>
      </c>
      <c r="N144" s="1067" t="str">
        <f t="shared" si="24"/>
        <v xml:space="preserve"> </v>
      </c>
    </row>
    <row r="145" spans="3:14">
      <c r="C145" s="1061" t="s">
        <v>689</v>
      </c>
      <c r="D145" s="1097" t="s">
        <v>339</v>
      </c>
      <c r="E145" s="1063" t="s">
        <v>848</v>
      </c>
      <c r="F145" s="1064"/>
      <c r="G145" s="1063" t="s">
        <v>785</v>
      </c>
      <c r="H145" s="1065">
        <v>416398.8</v>
      </c>
      <c r="I145" s="1066" t="s">
        <v>293</v>
      </c>
      <c r="J145" s="1067">
        <f t="shared" si="20"/>
        <v>416398.8</v>
      </c>
      <c r="K145" s="1036" t="str">
        <f t="shared" si="21"/>
        <v xml:space="preserve"> </v>
      </c>
      <c r="L145" s="1036" t="str">
        <f t="shared" si="22"/>
        <v xml:space="preserve"> </v>
      </c>
      <c r="M145" s="1067" t="str">
        <f t="shared" si="23"/>
        <v xml:space="preserve"> </v>
      </c>
      <c r="N145" s="1067" t="str">
        <f t="shared" si="24"/>
        <v xml:space="preserve"> </v>
      </c>
    </row>
    <row r="146" spans="3:14">
      <c r="C146" s="1061" t="s">
        <v>689</v>
      </c>
      <c r="D146" s="1097" t="s">
        <v>339</v>
      </c>
      <c r="E146" s="1063" t="s">
        <v>786</v>
      </c>
      <c r="F146" s="1064"/>
      <c r="G146" s="1063" t="s">
        <v>787</v>
      </c>
      <c r="H146" s="1065">
        <v>-20514.690000000002</v>
      </c>
      <c r="I146" s="1066" t="s">
        <v>293</v>
      </c>
      <c r="J146" s="1067">
        <f t="shared" si="20"/>
        <v>-20514.690000000002</v>
      </c>
      <c r="K146" s="1036" t="str">
        <f t="shared" si="21"/>
        <v xml:space="preserve"> </v>
      </c>
      <c r="L146" s="1036" t="str">
        <f t="shared" si="22"/>
        <v xml:space="preserve"> </v>
      </c>
      <c r="M146" s="1067" t="str">
        <f t="shared" si="23"/>
        <v xml:space="preserve"> </v>
      </c>
      <c r="N146" s="1067" t="str">
        <f t="shared" si="24"/>
        <v xml:space="preserve"> </v>
      </c>
    </row>
    <row r="147" spans="3:14">
      <c r="C147" s="1061" t="s">
        <v>689</v>
      </c>
      <c r="D147" s="1097"/>
      <c r="E147" s="1063" t="s">
        <v>1452</v>
      </c>
      <c r="F147" s="1064"/>
      <c r="G147" s="1063" t="s">
        <v>1453</v>
      </c>
      <c r="H147" s="1065">
        <v>0.14000000001396984</v>
      </c>
      <c r="I147" s="1066" t="s">
        <v>160</v>
      </c>
      <c r="J147" s="1067" t="str">
        <f t="shared" ref="J147" si="29">IF(I147="e",H147," ")</f>
        <v xml:space="preserve"> </v>
      </c>
      <c r="K147" s="1036" t="str">
        <f t="shared" si="21"/>
        <v xml:space="preserve"> </v>
      </c>
      <c r="L147" s="1036">
        <f t="shared" si="22"/>
        <v>0.14000000001396984</v>
      </c>
      <c r="M147" s="1067" t="str">
        <f t="shared" si="23"/>
        <v xml:space="preserve"> </v>
      </c>
      <c r="N147" s="1067" t="str">
        <f t="shared" ref="N147" si="30">IF(I147="Labor",H147," ")</f>
        <v xml:space="preserve"> </v>
      </c>
    </row>
    <row r="148" spans="3:14">
      <c r="C148" s="1061" t="s">
        <v>689</v>
      </c>
      <c r="D148" s="1097" t="s">
        <v>339</v>
      </c>
      <c r="E148" s="1063" t="s">
        <v>788</v>
      </c>
      <c r="F148" s="1064"/>
      <c r="G148" s="1063" t="s">
        <v>789</v>
      </c>
      <c r="H148" s="1065">
        <v>288501.01000000007</v>
      </c>
      <c r="I148" s="1066" t="s">
        <v>160</v>
      </c>
      <c r="J148" s="1067" t="str">
        <f t="shared" si="20"/>
        <v xml:space="preserve"> </v>
      </c>
      <c r="K148" s="1036" t="str">
        <f t="shared" si="21"/>
        <v xml:space="preserve"> </v>
      </c>
      <c r="L148" s="1036">
        <f t="shared" si="22"/>
        <v>288501.01000000007</v>
      </c>
      <c r="M148" s="1067" t="str">
        <f t="shared" si="23"/>
        <v xml:space="preserve"> </v>
      </c>
      <c r="N148" s="1067" t="str">
        <f t="shared" si="24"/>
        <v xml:space="preserve"> </v>
      </c>
    </row>
    <row r="149" spans="3:14">
      <c r="C149" s="1061" t="s">
        <v>689</v>
      </c>
      <c r="D149" s="1097" t="s">
        <v>339</v>
      </c>
      <c r="E149" s="1063" t="s">
        <v>790</v>
      </c>
      <c r="F149" s="1064"/>
      <c r="G149" s="1063" t="s">
        <v>791</v>
      </c>
      <c r="H149" s="1065">
        <v>1.4210854715202004E-13</v>
      </c>
      <c r="I149" s="1066" t="s">
        <v>293</v>
      </c>
      <c r="J149" s="1067">
        <f t="shared" si="20"/>
        <v>1.4210854715202004E-13</v>
      </c>
      <c r="K149" s="1036" t="str">
        <f t="shared" si="21"/>
        <v xml:space="preserve"> </v>
      </c>
      <c r="L149" s="1036" t="str">
        <f t="shared" si="22"/>
        <v xml:space="preserve"> </v>
      </c>
      <c r="M149" s="1067" t="str">
        <f t="shared" si="23"/>
        <v xml:space="preserve"> </v>
      </c>
      <c r="N149" s="1067" t="str">
        <f t="shared" si="24"/>
        <v xml:space="preserve"> </v>
      </c>
    </row>
    <row r="150" spans="3:14">
      <c r="C150" s="1061" t="s">
        <v>689</v>
      </c>
      <c r="D150" s="1097" t="s">
        <v>339</v>
      </c>
      <c r="E150" s="1063" t="s">
        <v>792</v>
      </c>
      <c r="F150" s="1064"/>
      <c r="G150" s="1063" t="s">
        <v>793</v>
      </c>
      <c r="H150" s="1065">
        <v>0</v>
      </c>
      <c r="I150" s="1066" t="s">
        <v>293</v>
      </c>
      <c r="J150" s="1067">
        <f t="shared" si="20"/>
        <v>0</v>
      </c>
      <c r="K150" s="1036" t="str">
        <f t="shared" si="21"/>
        <v xml:space="preserve"> </v>
      </c>
      <c r="L150" s="1036" t="str">
        <f t="shared" si="22"/>
        <v xml:space="preserve"> </v>
      </c>
      <c r="M150" s="1067" t="str">
        <f t="shared" si="23"/>
        <v xml:space="preserve"> </v>
      </c>
      <c r="N150" s="1067" t="str">
        <f t="shared" si="24"/>
        <v xml:space="preserve"> </v>
      </c>
    </row>
    <row r="151" spans="3:14">
      <c r="C151" s="1061" t="s">
        <v>689</v>
      </c>
      <c r="D151" s="1097"/>
      <c r="E151" s="1063" t="s">
        <v>1416</v>
      </c>
      <c r="F151" s="1064"/>
      <c r="G151" s="1063" t="s">
        <v>1418</v>
      </c>
      <c r="H151" s="1065">
        <v>36445.120000000003</v>
      </c>
      <c r="I151" s="1066" t="s">
        <v>293</v>
      </c>
      <c r="J151" s="1067">
        <f t="shared" ref="J151:J152" si="31">IF(I151="e",H151," ")</f>
        <v>36445.120000000003</v>
      </c>
      <c r="K151" s="1036" t="str">
        <f t="shared" si="21"/>
        <v xml:space="preserve"> </v>
      </c>
      <c r="L151" s="1036" t="str">
        <f t="shared" si="22"/>
        <v xml:space="preserve"> </v>
      </c>
      <c r="M151" s="1067" t="str">
        <f t="shared" si="23"/>
        <v xml:space="preserve"> </v>
      </c>
      <c r="N151" s="1067" t="str">
        <f t="shared" ref="N151:N152" si="32">IF(I151="Labor",H151," ")</f>
        <v xml:space="preserve"> </v>
      </c>
    </row>
    <row r="152" spans="3:14">
      <c r="C152" s="1061" t="s">
        <v>689</v>
      </c>
      <c r="D152" s="1097"/>
      <c r="E152" s="1063" t="s">
        <v>1417</v>
      </c>
      <c r="F152" s="1064"/>
      <c r="G152" s="1063" t="s">
        <v>1419</v>
      </c>
      <c r="H152" s="1065">
        <v>129440.23999999999</v>
      </c>
      <c r="I152" s="1066" t="s">
        <v>293</v>
      </c>
      <c r="J152" s="1067">
        <f t="shared" si="31"/>
        <v>129440.23999999999</v>
      </c>
      <c r="K152" s="1036" t="str">
        <f t="shared" si="21"/>
        <v xml:space="preserve"> </v>
      </c>
      <c r="L152" s="1036" t="str">
        <f t="shared" si="22"/>
        <v xml:space="preserve"> </v>
      </c>
      <c r="M152" s="1067" t="str">
        <f t="shared" si="23"/>
        <v xml:space="preserve"> </v>
      </c>
      <c r="N152" s="1067" t="str">
        <f t="shared" si="32"/>
        <v xml:space="preserve"> </v>
      </c>
    </row>
    <row r="153" spans="3:14">
      <c r="C153" s="1088"/>
      <c r="D153" s="1097"/>
      <c r="E153" s="1064"/>
      <c r="F153" s="1064"/>
      <c r="G153" s="1064"/>
      <c r="H153" s="1090"/>
      <c r="I153" s="1098"/>
      <c r="J153" s="1067"/>
      <c r="K153" s="1036"/>
      <c r="L153" s="1036"/>
      <c r="M153" s="1067"/>
      <c r="N153" s="1067"/>
    </row>
    <row r="154" spans="3:14" s="1085" customFormat="1">
      <c r="C154" s="1099"/>
      <c r="D154" s="1084"/>
      <c r="E154" s="1100"/>
      <c r="G154" s="1101"/>
      <c r="H154" s="1102"/>
      <c r="I154" s="1103"/>
      <c r="J154" s="1087"/>
      <c r="K154" s="1086"/>
      <c r="L154" s="1086"/>
      <c r="M154" s="1087"/>
      <c r="N154" s="1087"/>
    </row>
    <row r="155" spans="3:14">
      <c r="C155" s="700"/>
      <c r="D155" s="700"/>
      <c r="E155" s="1064"/>
      <c r="F155" s="1064"/>
      <c r="G155" s="1064"/>
      <c r="H155" s="1090"/>
      <c r="I155" s="1098"/>
      <c r="J155" s="1067" t="str">
        <f t="shared" si="20"/>
        <v xml:space="preserve"> </v>
      </c>
      <c r="K155" s="1036" t="str">
        <f t="shared" si="21"/>
        <v xml:space="preserve"> </v>
      </c>
      <c r="L155" s="1036" t="str">
        <f t="shared" si="22"/>
        <v xml:space="preserve"> </v>
      </c>
      <c r="M155" s="1067" t="str">
        <f t="shared" si="23"/>
        <v xml:space="preserve"> </v>
      </c>
      <c r="N155" s="1067" t="str">
        <f t="shared" si="24"/>
        <v xml:space="preserve"> </v>
      </c>
    </row>
    <row r="156" spans="3:14">
      <c r="C156" s="1083">
        <v>1901002</v>
      </c>
      <c r="D156" s="700"/>
      <c r="E156" s="1063" t="s">
        <v>1079</v>
      </c>
      <c r="F156" s="1064"/>
      <c r="G156" s="1063" t="s">
        <v>1080</v>
      </c>
      <c r="H156" s="1065">
        <v>16194103</v>
      </c>
      <c r="I156" s="1066" t="s">
        <v>293</v>
      </c>
      <c r="J156" s="1067">
        <f t="shared" si="20"/>
        <v>16194103</v>
      </c>
      <c r="K156" s="1036" t="str">
        <f t="shared" si="21"/>
        <v xml:space="preserve"> </v>
      </c>
      <c r="L156" s="1036" t="str">
        <f t="shared" si="22"/>
        <v xml:space="preserve"> </v>
      </c>
      <c r="M156" s="1067" t="str">
        <f t="shared" si="23"/>
        <v xml:space="preserve"> </v>
      </c>
      <c r="N156" s="1067" t="str">
        <f t="shared" si="24"/>
        <v xml:space="preserve"> </v>
      </c>
    </row>
    <row r="157" spans="3:14">
      <c r="C157" s="1083">
        <v>1901002</v>
      </c>
      <c r="D157" s="1097"/>
      <c r="E157" s="1063" t="s">
        <v>1040</v>
      </c>
      <c r="F157" s="1064"/>
      <c r="G157" s="1063" t="s">
        <v>1041</v>
      </c>
      <c r="H157" s="1065">
        <v>17995944.440000005</v>
      </c>
      <c r="I157" s="1066" t="s">
        <v>293</v>
      </c>
      <c r="J157" s="1067">
        <f t="shared" si="20"/>
        <v>17995944.440000005</v>
      </c>
      <c r="K157" s="1036" t="str">
        <f t="shared" si="21"/>
        <v xml:space="preserve"> </v>
      </c>
      <c r="L157" s="1036" t="str">
        <f t="shared" si="22"/>
        <v xml:space="preserve"> </v>
      </c>
      <c r="M157" s="1067" t="str">
        <f t="shared" si="23"/>
        <v xml:space="preserve"> </v>
      </c>
      <c r="N157" s="1067" t="str">
        <f t="shared" si="24"/>
        <v xml:space="preserve"> </v>
      </c>
    </row>
    <row r="158" spans="3:14">
      <c r="C158" s="1083">
        <v>1901002</v>
      </c>
      <c r="D158" s="1097"/>
      <c r="E158" s="1063" t="s">
        <v>827</v>
      </c>
      <c r="F158" s="1064"/>
      <c r="G158" s="1063" t="s">
        <v>651</v>
      </c>
      <c r="H158" s="1065">
        <v>20711791.199999999</v>
      </c>
      <c r="I158" s="1066" t="s">
        <v>293</v>
      </c>
      <c r="J158" s="1067">
        <f>IF(I158="e",H158," ")</f>
        <v>20711791.199999999</v>
      </c>
      <c r="K158" s="1036" t="str">
        <f t="shared" si="21"/>
        <v xml:space="preserve"> </v>
      </c>
      <c r="L158" s="1036" t="str">
        <f t="shared" si="22"/>
        <v xml:space="preserve"> </v>
      </c>
      <c r="M158" s="1067" t="str">
        <f t="shared" si="23"/>
        <v xml:space="preserve"> </v>
      </c>
      <c r="N158" s="1067" t="str">
        <f>IF(I158="Labor",H158," ")</f>
        <v xml:space="preserve"> </v>
      </c>
    </row>
    <row r="159" spans="3:14">
      <c r="C159" s="1083">
        <v>1901002</v>
      </c>
      <c r="D159" s="1069"/>
      <c r="E159" s="1063" t="s">
        <v>1402</v>
      </c>
      <c r="F159" s="1064"/>
      <c r="G159" s="1063" t="s">
        <v>1403</v>
      </c>
      <c r="H159" s="1065">
        <v>-312500</v>
      </c>
      <c r="I159" s="1066" t="s">
        <v>293</v>
      </c>
      <c r="J159" s="1067">
        <f t="shared" si="20"/>
        <v>-312500</v>
      </c>
      <c r="K159" s="1036" t="str">
        <f t="shared" si="21"/>
        <v xml:space="preserve"> </v>
      </c>
      <c r="L159" s="1036" t="str">
        <f t="shared" si="22"/>
        <v xml:space="preserve"> </v>
      </c>
      <c r="M159" s="1067" t="str">
        <f t="shared" si="23"/>
        <v xml:space="preserve"> </v>
      </c>
      <c r="N159" s="1067" t="str">
        <f t="shared" si="24"/>
        <v xml:space="preserve"> </v>
      </c>
    </row>
    <row r="160" spans="3:14">
      <c r="C160" s="1072"/>
      <c r="D160" s="1069"/>
      <c r="E160" s="1072"/>
      <c r="F160" s="1061"/>
      <c r="G160" s="1061"/>
      <c r="H160" s="964"/>
      <c r="I160" s="1066"/>
      <c r="J160" s="1065"/>
      <c r="K160" s="1065"/>
      <c r="L160" s="1065"/>
      <c r="M160" s="1065"/>
      <c r="N160" s="1065"/>
    </row>
    <row r="161" spans="3:15">
      <c r="C161" s="1072"/>
      <c r="D161" s="1069"/>
      <c r="E161" s="1072"/>
      <c r="F161" s="1061"/>
      <c r="G161" s="1072"/>
      <c r="H161" s="1073"/>
      <c r="I161" s="1071"/>
      <c r="J161" s="1067" t="str">
        <f t="shared" si="20"/>
        <v xml:space="preserve"> </v>
      </c>
      <c r="K161" s="1036" t="str">
        <f t="shared" si="21"/>
        <v xml:space="preserve"> </v>
      </c>
      <c r="L161" s="1036" t="str">
        <f t="shared" si="22"/>
        <v xml:space="preserve"> </v>
      </c>
      <c r="M161" s="1067" t="str">
        <f t="shared" si="23"/>
        <v xml:space="preserve"> </v>
      </c>
      <c r="N161" s="1067" t="str">
        <f t="shared" si="24"/>
        <v xml:space="preserve"> </v>
      </c>
    </row>
    <row r="162" spans="3:15">
      <c r="C162" s="1104"/>
      <c r="J162" s="1096"/>
    </row>
    <row r="163" spans="3:15">
      <c r="C163" s="1058">
        <v>190.1</v>
      </c>
      <c r="D163" s="1023"/>
      <c r="G163" s="1077" t="s">
        <v>161</v>
      </c>
      <c r="H163" s="1093">
        <f>SUM(H106:H162)</f>
        <v>119010870.77999999</v>
      </c>
      <c r="I163" s="1036"/>
      <c r="J163" s="1093">
        <f>SUM(J106:J162)</f>
        <v>75180042.289999992</v>
      </c>
      <c r="K163" s="1093">
        <f>SUM(K106:K162)</f>
        <v>0</v>
      </c>
      <c r="L163" s="1093">
        <f>SUM(L106:L162)</f>
        <v>38344503.140000001</v>
      </c>
      <c r="M163" s="1093">
        <f>SUM(M106:M162)</f>
        <v>0</v>
      </c>
      <c r="N163" s="1093">
        <f>SUM(N106:N162)</f>
        <v>5486325.3499999996</v>
      </c>
      <c r="O163" s="1068"/>
    </row>
    <row r="164" spans="3:15">
      <c r="G164" s="1079" t="s">
        <v>130</v>
      </c>
      <c r="H164" s="1073">
        <v>119010871</v>
      </c>
      <c r="J164" s="1080"/>
    </row>
    <row r="165" spans="3:15">
      <c r="G165" s="1079"/>
      <c r="H165" s="1105"/>
    </row>
    <row r="166" spans="3:15" ht="33" customHeight="1">
      <c r="C166" s="2456"/>
      <c r="D166" s="2456"/>
      <c r="E166" s="2456"/>
      <c r="F166" s="2456"/>
      <c r="G166" s="2456"/>
      <c r="H166" s="2456"/>
      <c r="I166" s="2456"/>
      <c r="J166" s="2456"/>
      <c r="K166" s="2456"/>
      <c r="L166" s="2456"/>
      <c r="M166" s="2456"/>
      <c r="N166" s="2456"/>
    </row>
    <row r="179" spans="3:8">
      <c r="C179" s="1106"/>
      <c r="D179" s="1075"/>
      <c r="E179" s="1106"/>
      <c r="G179" s="1106"/>
      <c r="H179" s="1107"/>
    </row>
    <row r="215" spans="3:6">
      <c r="C215" s="1106"/>
      <c r="D215" s="1106"/>
      <c r="E215" s="1106"/>
      <c r="F215" s="1051"/>
    </row>
    <row r="216" spans="3:6">
      <c r="C216" s="1106"/>
      <c r="D216" s="1106"/>
      <c r="E216" s="1106"/>
    </row>
    <row r="217" spans="3:6">
      <c r="C217" s="1106"/>
      <c r="D217" s="1106"/>
      <c r="E217" s="1106"/>
    </row>
    <row r="218" spans="3:6">
      <c r="C218" s="1106"/>
      <c r="D218" s="1106"/>
      <c r="E218" s="1106"/>
    </row>
    <row r="219" spans="3:6">
      <c r="C219" s="1106"/>
      <c r="D219" s="1106"/>
      <c r="E219" s="1106"/>
    </row>
    <row r="220" spans="3:6">
      <c r="C220" s="1106"/>
      <c r="D220" s="1106"/>
      <c r="E220" s="1106"/>
    </row>
    <row r="221" spans="3:6">
      <c r="C221" s="1106"/>
      <c r="D221" s="1106"/>
      <c r="E221" s="1106"/>
    </row>
    <row r="222" spans="3:6">
      <c r="C222" s="1106"/>
      <c r="D222" s="1106"/>
      <c r="E222" s="1106"/>
    </row>
    <row r="223" spans="3:6">
      <c r="C223" s="1106"/>
      <c r="D223" s="1106"/>
      <c r="E223" s="1106"/>
    </row>
    <row r="224" spans="3:6">
      <c r="C224" s="1106"/>
      <c r="D224" s="1106"/>
      <c r="E224" s="1106"/>
    </row>
    <row r="225" spans="3:5">
      <c r="C225" s="1106"/>
      <c r="D225" s="1106"/>
      <c r="E225" s="1106"/>
    </row>
    <row r="226" spans="3:5">
      <c r="C226" s="1106"/>
      <c r="D226" s="1106"/>
      <c r="E226" s="1106"/>
    </row>
    <row r="227" spans="3:5">
      <c r="C227" s="1106"/>
      <c r="D227" s="1106"/>
      <c r="E227" s="1106"/>
    </row>
    <row r="228" spans="3:5">
      <c r="C228" s="1106"/>
      <c r="D228" s="1106"/>
      <c r="E228" s="1106"/>
    </row>
    <row r="229" spans="3:5">
      <c r="C229" s="1106"/>
      <c r="D229" s="1106"/>
      <c r="E229" s="1106"/>
    </row>
    <row r="230" spans="3:5">
      <c r="C230" s="1106"/>
      <c r="D230" s="1106"/>
      <c r="E230" s="1106"/>
    </row>
    <row r="231" spans="3:5">
      <c r="C231" s="1106"/>
      <c r="D231" s="1106"/>
      <c r="E231" s="1106"/>
    </row>
    <row r="232" spans="3:5">
      <c r="C232" s="1106"/>
      <c r="D232" s="1106"/>
      <c r="E232" s="1106"/>
    </row>
    <row r="233" spans="3:5">
      <c r="C233" s="1106"/>
      <c r="D233" s="1106"/>
      <c r="E233" s="1106"/>
    </row>
    <row r="234" spans="3:5">
      <c r="D234" s="1023"/>
    </row>
    <row r="235" spans="3:5">
      <c r="D235" s="1023"/>
    </row>
    <row r="236" spans="3:5">
      <c r="D236" s="1023"/>
    </row>
    <row r="237" spans="3:5">
      <c r="D237" s="1023"/>
    </row>
    <row r="238" spans="3:5">
      <c r="D238" s="1023"/>
    </row>
    <row r="239" spans="3:5">
      <c r="D239" s="1023"/>
    </row>
    <row r="240" spans="3:5">
      <c r="D240" s="1023"/>
    </row>
    <row r="241" spans="3:7">
      <c r="D241" s="1023"/>
    </row>
    <row r="242" spans="3:7">
      <c r="D242" s="1023"/>
    </row>
    <row r="243" spans="3:7">
      <c r="D243" s="1023"/>
    </row>
    <row r="244" spans="3:7">
      <c r="D244" s="1023"/>
    </row>
    <row r="245" spans="3:7">
      <c r="D245" s="1023"/>
    </row>
    <row r="246" spans="3:7">
      <c r="D246" s="1023"/>
    </row>
    <row r="247" spans="3:7">
      <c r="D247" s="1023"/>
    </row>
    <row r="248" spans="3:7">
      <c r="D248" s="1023"/>
    </row>
    <row r="249" spans="3:7">
      <c r="D249" s="1023"/>
    </row>
    <row r="250" spans="3:7">
      <c r="D250" s="1023"/>
    </row>
    <row r="251" spans="3:7">
      <c r="C251" s="1106"/>
      <c r="D251" s="1075"/>
      <c r="E251" s="1106"/>
      <c r="F251" s="1106"/>
      <c r="G251" s="1106"/>
    </row>
    <row r="252" spans="3:7">
      <c r="C252" s="1106"/>
      <c r="D252" s="1075"/>
      <c r="E252" s="1106"/>
      <c r="F252" s="1106"/>
      <c r="G252" s="1106"/>
    </row>
    <row r="253" spans="3:7">
      <c r="C253" s="1106"/>
      <c r="D253" s="1075"/>
      <c r="E253" s="1106"/>
      <c r="F253" s="1106"/>
      <c r="G253" s="1106"/>
    </row>
    <row r="254" spans="3:7">
      <c r="C254" s="1106"/>
      <c r="D254" s="1075"/>
      <c r="E254" s="1106"/>
      <c r="F254" s="1106"/>
      <c r="G254" s="1106"/>
    </row>
    <row r="255" spans="3:7">
      <c r="C255" s="1106"/>
      <c r="D255" s="1075"/>
      <c r="E255" s="1106"/>
      <c r="F255" s="1106"/>
      <c r="G255" s="1106"/>
    </row>
    <row r="256" spans="3:7">
      <c r="C256" s="1106"/>
      <c r="D256" s="1075"/>
      <c r="E256" s="1106"/>
      <c r="F256" s="1106"/>
      <c r="G256" s="1106"/>
    </row>
  </sheetData>
  <mergeCells count="6">
    <mergeCell ref="C3:N3"/>
    <mergeCell ref="C166:N166"/>
    <mergeCell ref="J8:N8"/>
    <mergeCell ref="C4:N4"/>
    <mergeCell ref="C5:N5"/>
    <mergeCell ref="C6:N6"/>
  </mergeCells>
  <phoneticPr fontId="76" type="noConversion"/>
  <conditionalFormatting sqref="O163 O102 O44:O51">
    <cfRule type="cellIs" dxfId="9" priority="2" stopIfTrue="1" operator="equal">
      <formula>FALSE</formula>
    </cfRule>
  </conditionalFormatting>
  <conditionalFormatting sqref="O52">
    <cfRule type="cellIs" dxfId="8"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61"/>
  <sheetViews>
    <sheetView zoomScale="81" zoomScaleNormal="81" zoomScaleSheetLayoutView="75" zoomScalePageLayoutView="75" workbookViewId="0">
      <selection activeCell="L10" sqref="L10:L11"/>
    </sheetView>
  </sheetViews>
  <sheetFormatPr defaultColWidth="8.85546875" defaultRowHeight="12.75"/>
  <cols>
    <col min="1" max="2" width="1.7109375" style="1023" customWidth="1"/>
    <col min="3" max="3" width="10.7109375" style="1023" customWidth="1"/>
    <col min="4" max="4" width="1.7109375" style="1051" customWidth="1"/>
    <col min="5" max="5" width="11.140625" style="1023" customWidth="1"/>
    <col min="6" max="6" width="1.7109375" style="1023" customWidth="1"/>
    <col min="7" max="7" width="53.28515625" style="1023" customWidth="1"/>
    <col min="8" max="8" width="20.42578125" style="1052" bestFit="1" customWidth="1"/>
    <col min="9" max="9" width="11.7109375" style="1023" customWidth="1"/>
    <col min="10" max="10" width="16.85546875" style="1023" customWidth="1"/>
    <col min="11" max="11" width="16.28515625" style="1023" customWidth="1"/>
    <col min="12" max="12" width="18.85546875" style="1023" customWidth="1"/>
    <col min="13" max="13" width="13.28515625" style="1023" customWidth="1"/>
    <col min="14" max="14" width="17.140625" style="1023" customWidth="1"/>
    <col min="15" max="16384" width="8.85546875" style="1023"/>
  </cols>
  <sheetData>
    <row r="1" spans="1:15" ht="15">
      <c r="A1" s="1050"/>
    </row>
    <row r="2" spans="1:15" ht="20.25">
      <c r="A2" s="1053"/>
      <c r="B2" s="1054"/>
      <c r="D2" s="1023"/>
      <c r="I2" s="1033"/>
      <c r="J2" s="1033"/>
      <c r="K2" s="1033"/>
      <c r="L2" s="1033"/>
      <c r="M2" s="1033"/>
      <c r="N2" s="1055" t="s">
        <v>256</v>
      </c>
      <c r="O2" s="1108"/>
    </row>
    <row r="3" spans="1:15" ht="20.25">
      <c r="A3" s="1055"/>
      <c r="B3" s="1056"/>
      <c r="C3" s="2455" t="str">
        <f>+'PSO TCOS'!F4</f>
        <v xml:space="preserve">AEP West SPP Member Operating Companies </v>
      </c>
      <c r="D3" s="2455"/>
      <c r="E3" s="2455"/>
      <c r="F3" s="2455"/>
      <c r="G3" s="2455"/>
      <c r="H3" s="2455"/>
      <c r="I3" s="2455"/>
      <c r="J3" s="2455"/>
      <c r="K3" s="2455"/>
      <c r="L3" s="2455"/>
      <c r="M3" s="2455"/>
      <c r="N3" s="2455"/>
      <c r="O3" s="1108"/>
    </row>
    <row r="4" spans="1:15" ht="18">
      <c r="C4" s="2458" t="str">
        <f>+'PSO TCOS'!F8</f>
        <v>PUBLIC SERVICE COMPANY OF OKLAHOMA</v>
      </c>
      <c r="D4" s="2458"/>
      <c r="E4" s="2458"/>
      <c r="F4" s="2458"/>
      <c r="G4" s="2458"/>
      <c r="H4" s="2458"/>
      <c r="I4" s="2458"/>
      <c r="J4" s="2458"/>
      <c r="K4" s="2458"/>
      <c r="L4" s="2458"/>
      <c r="M4" s="2458"/>
      <c r="N4" s="2458"/>
      <c r="O4" s="1108"/>
    </row>
    <row r="5" spans="1:15" ht="18">
      <c r="C5" s="2458" t="s">
        <v>887</v>
      </c>
      <c r="D5" s="2458"/>
      <c r="E5" s="2458"/>
      <c r="F5" s="2458"/>
      <c r="G5" s="2458"/>
      <c r="H5" s="2458"/>
      <c r="I5" s="2458"/>
      <c r="J5" s="2458"/>
      <c r="K5" s="2458"/>
      <c r="L5" s="2458"/>
      <c r="M5" s="2458"/>
      <c r="N5" s="2458"/>
    </row>
    <row r="6" spans="1:15" ht="23.25" customHeight="1">
      <c r="C6" s="2460" t="str">
        <f>"AS OF DECEMBER 31, "&amp;'PSO TCOS'!N2-1&amp;""</f>
        <v>AS OF DECEMBER 31, 2017</v>
      </c>
      <c r="D6" s="2460"/>
      <c r="E6" s="2460"/>
      <c r="F6" s="2460"/>
      <c r="G6" s="2460"/>
      <c r="H6" s="2460"/>
      <c r="I6" s="2460"/>
      <c r="J6" s="2460"/>
      <c r="K6" s="2460"/>
      <c r="L6" s="2460"/>
      <c r="M6" s="2460"/>
      <c r="N6" s="2460"/>
    </row>
    <row r="7" spans="1:15">
      <c r="D7" s="1023"/>
    </row>
    <row r="8" spans="1:15">
      <c r="D8" s="1023"/>
      <c r="J8" s="2457" t="s">
        <v>154</v>
      </c>
      <c r="K8" s="2457"/>
      <c r="L8" s="2457"/>
      <c r="M8" s="2457"/>
      <c r="N8" s="2457"/>
    </row>
    <row r="9" spans="1:15" ht="25.5">
      <c r="C9" s="1057" t="s">
        <v>392</v>
      </c>
      <c r="D9" s="1058"/>
      <c r="E9" s="1057" t="s">
        <v>155</v>
      </c>
      <c r="G9" s="1057" t="s">
        <v>308</v>
      </c>
      <c r="H9" s="1059" t="s">
        <v>318</v>
      </c>
      <c r="I9" s="1060" t="s">
        <v>85</v>
      </c>
      <c r="J9" s="1060" t="s">
        <v>156</v>
      </c>
      <c r="K9" s="1060" t="s">
        <v>157</v>
      </c>
      <c r="L9" s="1057" t="s">
        <v>158</v>
      </c>
      <c r="M9" s="1057" t="s">
        <v>159</v>
      </c>
      <c r="N9" s="1057" t="s">
        <v>302</v>
      </c>
    </row>
    <row r="10" spans="1:15">
      <c r="C10" s="1061" t="s">
        <v>619</v>
      </c>
      <c r="D10" s="1062" t="s">
        <v>339</v>
      </c>
      <c r="E10" s="1063" t="s">
        <v>1022</v>
      </c>
      <c r="F10" s="1064"/>
      <c r="G10" s="1063" t="s">
        <v>1023</v>
      </c>
      <c r="H10" s="1065">
        <v>-186118660</v>
      </c>
      <c r="I10" s="1066" t="s">
        <v>160</v>
      </c>
      <c r="J10" s="1109" t="str">
        <f t="shared" ref="J10:J43" si="0">IF(I10="e",H10," ")</f>
        <v xml:space="preserve"> </v>
      </c>
      <c r="K10" s="1036" t="str">
        <f t="shared" ref="K10:K28" si="1">IF($I10="T",$H10," ")</f>
        <v xml:space="preserve"> </v>
      </c>
      <c r="L10" s="1036">
        <f t="shared" ref="L10:L46" si="2">IF($I10="PTD",$H10," ")</f>
        <v>-186118660</v>
      </c>
      <c r="M10" s="1109" t="str">
        <f t="shared" ref="M10:M28" si="3">IF($I10="T&amp;D",$H10," ")</f>
        <v xml:space="preserve"> </v>
      </c>
      <c r="N10" s="1109" t="str">
        <f t="shared" ref="N10:N46" si="4">IF(I10="Labor",H10," ")</f>
        <v xml:space="preserve"> </v>
      </c>
    </row>
    <row r="11" spans="1:15">
      <c r="C11" s="1061" t="s">
        <v>619</v>
      </c>
      <c r="D11" s="1062" t="s">
        <v>339</v>
      </c>
      <c r="E11" s="1063" t="s">
        <v>803</v>
      </c>
      <c r="F11" s="1064"/>
      <c r="G11" s="1063" t="s">
        <v>1017</v>
      </c>
      <c r="H11" s="1065">
        <v>-580356597.35000002</v>
      </c>
      <c r="I11" s="1066" t="s">
        <v>160</v>
      </c>
      <c r="J11" s="1109" t="str">
        <f t="shared" si="0"/>
        <v xml:space="preserve"> </v>
      </c>
      <c r="K11" s="1036" t="str">
        <f t="shared" si="1"/>
        <v xml:space="preserve"> </v>
      </c>
      <c r="L11" s="1036">
        <f t="shared" si="2"/>
        <v>-580356597.35000002</v>
      </c>
      <c r="M11" s="1109" t="str">
        <f t="shared" si="3"/>
        <v xml:space="preserve"> </v>
      </c>
      <c r="N11" s="1109" t="str">
        <f t="shared" si="4"/>
        <v xml:space="preserve"> </v>
      </c>
    </row>
    <row r="12" spans="1:15">
      <c r="C12" s="1061" t="s">
        <v>619</v>
      </c>
      <c r="D12" s="1062" t="s">
        <v>339</v>
      </c>
      <c r="E12" s="1063" t="s">
        <v>804</v>
      </c>
      <c r="F12" s="1064"/>
      <c r="G12" s="1063" t="s">
        <v>620</v>
      </c>
      <c r="H12" s="1065">
        <v>0</v>
      </c>
      <c r="I12" s="1066" t="s">
        <v>160</v>
      </c>
      <c r="J12" s="1109" t="str">
        <f t="shared" si="0"/>
        <v xml:space="preserve"> </v>
      </c>
      <c r="K12" s="1036" t="str">
        <f t="shared" si="1"/>
        <v xml:space="preserve"> </v>
      </c>
      <c r="L12" s="1036">
        <f t="shared" si="2"/>
        <v>0</v>
      </c>
      <c r="M12" s="1109" t="str">
        <f t="shared" si="3"/>
        <v xml:space="preserve"> </v>
      </c>
      <c r="N12" s="1109" t="str">
        <f t="shared" si="4"/>
        <v xml:space="preserve"> </v>
      </c>
    </row>
    <row r="13" spans="1:15">
      <c r="C13" s="1061" t="s">
        <v>619</v>
      </c>
      <c r="D13" s="1062" t="s">
        <v>339</v>
      </c>
      <c r="E13" s="1063" t="s">
        <v>1024</v>
      </c>
      <c r="F13" s="1064"/>
      <c r="G13" s="1063" t="s">
        <v>1025</v>
      </c>
      <c r="H13" s="1065">
        <v>-16947671</v>
      </c>
      <c r="I13" s="1066" t="s">
        <v>160</v>
      </c>
      <c r="J13" s="1109" t="str">
        <f>IF(I13="e",H13," ")</f>
        <v xml:space="preserve"> </v>
      </c>
      <c r="K13" s="1036" t="str">
        <f t="shared" si="1"/>
        <v xml:space="preserve"> </v>
      </c>
      <c r="L13" s="1036">
        <f t="shared" si="2"/>
        <v>-16947671</v>
      </c>
      <c r="M13" s="1109" t="str">
        <f t="shared" si="3"/>
        <v xml:space="preserve"> </v>
      </c>
      <c r="N13" s="1109" t="str">
        <f>IF(I13="Labor",H13," ")</f>
        <v xml:space="preserve"> </v>
      </c>
    </row>
    <row r="14" spans="1:15">
      <c r="C14" s="1061" t="s">
        <v>619</v>
      </c>
      <c r="D14" s="1062" t="s">
        <v>339</v>
      </c>
      <c r="E14" s="1063" t="s">
        <v>805</v>
      </c>
      <c r="F14" s="1064"/>
      <c r="G14" s="1063" t="s">
        <v>621</v>
      </c>
      <c r="H14" s="1065">
        <v>-1257722.55</v>
      </c>
      <c r="I14" s="1066" t="s">
        <v>160</v>
      </c>
      <c r="J14" s="1109" t="str">
        <f>IF(I14="e",H14," ")</f>
        <v xml:space="preserve"> </v>
      </c>
      <c r="K14" s="1036" t="str">
        <f t="shared" si="1"/>
        <v xml:space="preserve"> </v>
      </c>
      <c r="L14" s="1036">
        <f t="shared" si="2"/>
        <v>-1257722.55</v>
      </c>
      <c r="M14" s="1109" t="str">
        <f t="shared" si="3"/>
        <v xml:space="preserve"> </v>
      </c>
      <c r="N14" s="1109" t="str">
        <f>IF(I14="Labor",H14," ")</f>
        <v xml:space="preserve"> </v>
      </c>
    </row>
    <row r="15" spans="1:15">
      <c r="C15" s="1061" t="s">
        <v>619</v>
      </c>
      <c r="D15" s="1062"/>
      <c r="E15" s="1063" t="s">
        <v>806</v>
      </c>
      <c r="F15" s="1064"/>
      <c r="G15" s="1063" t="s">
        <v>622</v>
      </c>
      <c r="H15" s="1065">
        <v>92624.7</v>
      </c>
      <c r="I15" s="1066" t="s">
        <v>160</v>
      </c>
      <c r="J15" s="1109" t="str">
        <f>IF(I15="e",H15," ")</f>
        <v xml:space="preserve"> </v>
      </c>
      <c r="K15" s="1036" t="str">
        <f t="shared" si="1"/>
        <v xml:space="preserve"> </v>
      </c>
      <c r="L15" s="1036">
        <f t="shared" si="2"/>
        <v>92624.7</v>
      </c>
      <c r="M15" s="1109" t="str">
        <f t="shared" si="3"/>
        <v xml:space="preserve"> </v>
      </c>
      <c r="N15" s="1109" t="str">
        <f>IF(I15="Labor",H15," ")</f>
        <v xml:space="preserve"> </v>
      </c>
    </row>
    <row r="16" spans="1:15">
      <c r="C16" s="1061" t="s">
        <v>619</v>
      </c>
      <c r="D16" s="1062"/>
      <c r="E16" s="1063" t="s">
        <v>807</v>
      </c>
      <c r="F16" s="1064"/>
      <c r="G16" s="1063" t="s">
        <v>623</v>
      </c>
      <c r="H16" s="1065">
        <v>-3768544.15</v>
      </c>
      <c r="I16" s="1066" t="s">
        <v>160</v>
      </c>
      <c r="J16" s="1109" t="str">
        <f t="shared" si="0"/>
        <v xml:space="preserve"> </v>
      </c>
      <c r="K16" s="1036" t="str">
        <f t="shared" si="1"/>
        <v xml:space="preserve"> </v>
      </c>
      <c r="L16" s="1036">
        <f t="shared" si="2"/>
        <v>-3768544.15</v>
      </c>
      <c r="M16" s="1109" t="str">
        <f t="shared" si="3"/>
        <v xml:space="preserve"> </v>
      </c>
      <c r="N16" s="1109" t="str">
        <f t="shared" si="4"/>
        <v xml:space="preserve"> </v>
      </c>
    </row>
    <row r="17" spans="3:14">
      <c r="C17" s="1061" t="s">
        <v>619</v>
      </c>
      <c r="D17" s="1062"/>
      <c r="E17" s="1063" t="s">
        <v>808</v>
      </c>
      <c r="F17" s="1064"/>
      <c r="G17" s="1063" t="s">
        <v>626</v>
      </c>
      <c r="H17" s="1065">
        <v>-8938713.3499999996</v>
      </c>
      <c r="I17" s="1066" t="s">
        <v>293</v>
      </c>
      <c r="J17" s="1109">
        <f t="shared" si="0"/>
        <v>-8938713.3499999996</v>
      </c>
      <c r="K17" s="1036" t="str">
        <f t="shared" si="1"/>
        <v xml:space="preserve"> </v>
      </c>
      <c r="L17" s="1036" t="str">
        <f t="shared" si="2"/>
        <v xml:space="preserve"> </v>
      </c>
      <c r="M17" s="1109" t="str">
        <f t="shared" si="3"/>
        <v xml:space="preserve"> </v>
      </c>
      <c r="N17" s="1109" t="str">
        <f t="shared" si="4"/>
        <v xml:space="preserve"> </v>
      </c>
    </row>
    <row r="18" spans="3:14">
      <c r="C18" s="1061" t="s">
        <v>619</v>
      </c>
      <c r="D18" s="1062" t="s">
        <v>339</v>
      </c>
      <c r="E18" s="1063" t="s">
        <v>809</v>
      </c>
      <c r="F18" s="1064"/>
      <c r="G18" s="1063" t="s">
        <v>627</v>
      </c>
      <c r="H18" s="1065">
        <v>-667486.6</v>
      </c>
      <c r="I18" s="1066" t="s">
        <v>160</v>
      </c>
      <c r="J18" s="1109" t="str">
        <f t="shared" si="0"/>
        <v xml:space="preserve"> </v>
      </c>
      <c r="K18" s="1036" t="str">
        <f t="shared" si="1"/>
        <v xml:space="preserve"> </v>
      </c>
      <c r="L18" s="1036">
        <f t="shared" si="2"/>
        <v>-667486.6</v>
      </c>
      <c r="M18" s="1109" t="str">
        <f t="shared" si="3"/>
        <v xml:space="preserve"> </v>
      </c>
      <c r="N18" s="1109" t="str">
        <f t="shared" si="4"/>
        <v xml:space="preserve"> </v>
      </c>
    </row>
    <row r="19" spans="3:14">
      <c r="C19" s="1061" t="s">
        <v>619</v>
      </c>
      <c r="D19" s="1062" t="s">
        <v>339</v>
      </c>
      <c r="E19" s="1063" t="s">
        <v>810</v>
      </c>
      <c r="F19" s="1064"/>
      <c r="G19" s="1063" t="s">
        <v>628</v>
      </c>
      <c r="H19" s="1065">
        <v>3128709.51</v>
      </c>
      <c r="I19" s="1066" t="s">
        <v>160</v>
      </c>
      <c r="J19" s="1109" t="str">
        <f t="shared" si="0"/>
        <v xml:space="preserve"> </v>
      </c>
      <c r="K19" s="1036" t="str">
        <f t="shared" si="1"/>
        <v xml:space="preserve"> </v>
      </c>
      <c r="L19" s="1036">
        <f t="shared" si="2"/>
        <v>3128709.51</v>
      </c>
      <c r="M19" s="1109" t="str">
        <f t="shared" si="3"/>
        <v xml:space="preserve"> </v>
      </c>
      <c r="N19" s="1109" t="str">
        <f t="shared" si="4"/>
        <v xml:space="preserve"> </v>
      </c>
    </row>
    <row r="20" spans="3:14">
      <c r="C20" s="1061" t="s">
        <v>619</v>
      </c>
      <c r="D20" s="1062" t="s">
        <v>339</v>
      </c>
      <c r="E20" s="1063" t="s">
        <v>811</v>
      </c>
      <c r="F20" s="1064"/>
      <c r="G20" s="1063" t="s">
        <v>629</v>
      </c>
      <c r="H20" s="1065">
        <v>-2884790.65</v>
      </c>
      <c r="I20" s="1066" t="s">
        <v>293</v>
      </c>
      <c r="J20" s="1109">
        <f>IF(I20="e",H20," ")</f>
        <v>-2884790.65</v>
      </c>
      <c r="K20" s="1036" t="str">
        <f t="shared" si="1"/>
        <v xml:space="preserve"> </v>
      </c>
      <c r="L20" s="1036" t="str">
        <f t="shared" si="2"/>
        <v xml:space="preserve"> </v>
      </c>
      <c r="M20" s="1109" t="str">
        <f t="shared" si="3"/>
        <v xml:space="preserve"> </v>
      </c>
      <c r="N20" s="1109" t="str">
        <f>IF(I20="Labor",H20," ")</f>
        <v xml:space="preserve"> </v>
      </c>
    </row>
    <row r="21" spans="3:14">
      <c r="C21" s="1061" t="s">
        <v>619</v>
      </c>
      <c r="D21" s="1062" t="s">
        <v>339</v>
      </c>
      <c r="E21" s="1063" t="s">
        <v>812</v>
      </c>
      <c r="F21" s="1064"/>
      <c r="G21" s="1063" t="s">
        <v>630</v>
      </c>
      <c r="H21" s="1065">
        <v>-10215112.48</v>
      </c>
      <c r="I21" s="1066" t="s">
        <v>160</v>
      </c>
      <c r="J21" s="1109" t="str">
        <f t="shared" si="0"/>
        <v xml:space="preserve"> </v>
      </c>
      <c r="K21" s="1036" t="str">
        <f t="shared" si="1"/>
        <v xml:space="preserve"> </v>
      </c>
      <c r="L21" s="1036">
        <f t="shared" si="2"/>
        <v>-10215112.48</v>
      </c>
      <c r="M21" s="1109" t="str">
        <f t="shared" si="3"/>
        <v xml:space="preserve"> </v>
      </c>
      <c r="N21" s="1109" t="str">
        <f t="shared" si="4"/>
        <v xml:space="preserve"> </v>
      </c>
    </row>
    <row r="22" spans="3:14">
      <c r="C22" s="1061" t="s">
        <v>619</v>
      </c>
      <c r="D22" s="1062" t="s">
        <v>339</v>
      </c>
      <c r="E22" s="1063" t="s">
        <v>813</v>
      </c>
      <c r="F22" s="1064"/>
      <c r="G22" s="1063" t="s">
        <v>631</v>
      </c>
      <c r="H22" s="1065">
        <v>18456927.050000001</v>
      </c>
      <c r="I22" s="1066" t="s">
        <v>160</v>
      </c>
      <c r="J22" s="1109" t="str">
        <f>IF(I22="e",H22," ")</f>
        <v xml:space="preserve"> </v>
      </c>
      <c r="K22" s="1036" t="str">
        <f t="shared" si="1"/>
        <v xml:space="preserve"> </v>
      </c>
      <c r="L22" s="1036">
        <f t="shared" si="2"/>
        <v>18456927.050000001</v>
      </c>
      <c r="M22" s="1109" t="str">
        <f t="shared" si="3"/>
        <v xml:space="preserve"> </v>
      </c>
      <c r="N22" s="1109" t="str">
        <f>IF(I22="Labor",H22," ")</f>
        <v xml:space="preserve"> </v>
      </c>
    </row>
    <row r="23" spans="3:14">
      <c r="C23" s="1061" t="s">
        <v>619</v>
      </c>
      <c r="D23" s="1062" t="s">
        <v>339</v>
      </c>
      <c r="E23" s="1063" t="s">
        <v>814</v>
      </c>
      <c r="F23" s="1064"/>
      <c r="G23" s="1063" t="s">
        <v>632</v>
      </c>
      <c r="H23" s="1065">
        <v>17504231.870000001</v>
      </c>
      <c r="I23" s="1066" t="s">
        <v>293</v>
      </c>
      <c r="J23" s="1109">
        <f t="shared" si="0"/>
        <v>17504231.870000001</v>
      </c>
      <c r="K23" s="1036" t="str">
        <f t="shared" si="1"/>
        <v xml:space="preserve"> </v>
      </c>
      <c r="L23" s="1036" t="str">
        <f t="shared" si="2"/>
        <v xml:space="preserve"> </v>
      </c>
      <c r="M23" s="1109" t="str">
        <f t="shared" si="3"/>
        <v xml:space="preserve"> </v>
      </c>
      <c r="N23" s="1109" t="str">
        <f t="shared" si="4"/>
        <v xml:space="preserve"> </v>
      </c>
    </row>
    <row r="24" spans="3:14">
      <c r="C24" s="1061" t="s">
        <v>619</v>
      </c>
      <c r="D24" s="1062" t="s">
        <v>339</v>
      </c>
      <c r="E24" s="1063" t="s">
        <v>815</v>
      </c>
      <c r="F24" s="1064"/>
      <c r="G24" s="1063" t="s">
        <v>633</v>
      </c>
      <c r="H24" s="1065">
        <v>-66677</v>
      </c>
      <c r="I24" s="1066" t="s">
        <v>160</v>
      </c>
      <c r="J24" s="1109" t="str">
        <f t="shared" si="0"/>
        <v xml:space="preserve"> </v>
      </c>
      <c r="K24" s="1036" t="str">
        <f t="shared" si="1"/>
        <v xml:space="preserve"> </v>
      </c>
      <c r="L24" s="1036">
        <f t="shared" si="2"/>
        <v>-66677</v>
      </c>
      <c r="M24" s="1109" t="str">
        <f t="shared" si="3"/>
        <v xml:space="preserve"> </v>
      </c>
      <c r="N24" s="1109" t="str">
        <f t="shared" si="4"/>
        <v xml:space="preserve"> </v>
      </c>
    </row>
    <row r="25" spans="3:14">
      <c r="C25" s="1061" t="s">
        <v>619</v>
      </c>
      <c r="D25" s="1062" t="s">
        <v>339</v>
      </c>
      <c r="E25" s="1063" t="s">
        <v>816</v>
      </c>
      <c r="F25" s="1064"/>
      <c r="G25" s="1063" t="s">
        <v>634</v>
      </c>
      <c r="H25" s="1065">
        <v>-22694347.850000001</v>
      </c>
      <c r="I25" s="1066" t="s">
        <v>160</v>
      </c>
      <c r="J25" s="1109" t="str">
        <f>IF(I25="e",H25," ")</f>
        <v xml:space="preserve"> </v>
      </c>
      <c r="K25" s="1036" t="str">
        <f t="shared" si="1"/>
        <v xml:space="preserve"> </v>
      </c>
      <c r="L25" s="1036">
        <f t="shared" si="2"/>
        <v>-22694347.850000001</v>
      </c>
      <c r="M25" s="1109" t="str">
        <f t="shared" si="3"/>
        <v xml:space="preserve"> </v>
      </c>
      <c r="N25" s="1109" t="str">
        <f>IF(I25="Labor",H25," ")</f>
        <v xml:space="preserve"> </v>
      </c>
    </row>
    <row r="26" spans="3:14">
      <c r="C26" s="1061" t="s">
        <v>619</v>
      </c>
      <c r="D26" s="1062" t="s">
        <v>339</v>
      </c>
      <c r="E26" s="1063" t="s">
        <v>817</v>
      </c>
      <c r="F26" s="1064"/>
      <c r="G26" s="1063" t="s">
        <v>635</v>
      </c>
      <c r="H26" s="1065">
        <v>-52823217.649999999</v>
      </c>
      <c r="I26" s="1066" t="s">
        <v>160</v>
      </c>
      <c r="J26" s="1109" t="str">
        <f t="shared" si="0"/>
        <v xml:space="preserve"> </v>
      </c>
      <c r="K26" s="1036" t="str">
        <f t="shared" si="1"/>
        <v xml:space="preserve"> </v>
      </c>
      <c r="L26" s="1036">
        <f t="shared" si="2"/>
        <v>-52823217.649999999</v>
      </c>
      <c r="M26" s="1109" t="str">
        <f t="shared" si="3"/>
        <v xml:space="preserve"> </v>
      </c>
      <c r="N26" s="1109" t="str">
        <f t="shared" si="4"/>
        <v xml:space="preserve"> </v>
      </c>
    </row>
    <row r="27" spans="3:14">
      <c r="C27" s="1061" t="s">
        <v>619</v>
      </c>
      <c r="D27" s="1062" t="s">
        <v>339</v>
      </c>
      <c r="E27" s="1063" t="s">
        <v>818</v>
      </c>
      <c r="F27" s="1064"/>
      <c r="G27" s="1063" t="s">
        <v>636</v>
      </c>
      <c r="H27" s="1065">
        <v>-44609930.049999997</v>
      </c>
      <c r="I27" s="1066" t="s">
        <v>160</v>
      </c>
      <c r="J27" s="1109" t="str">
        <f t="shared" si="0"/>
        <v xml:space="preserve"> </v>
      </c>
      <c r="K27" s="1036" t="str">
        <f t="shared" si="1"/>
        <v xml:space="preserve"> </v>
      </c>
      <c r="L27" s="1036">
        <f t="shared" si="2"/>
        <v>-44609930.049999997</v>
      </c>
      <c r="M27" s="1109" t="str">
        <f t="shared" si="3"/>
        <v xml:space="preserve"> </v>
      </c>
      <c r="N27" s="1109" t="str">
        <f t="shared" si="4"/>
        <v xml:space="preserve"> </v>
      </c>
    </row>
    <row r="28" spans="3:14">
      <c r="C28" s="1061" t="s">
        <v>619</v>
      </c>
      <c r="D28" s="1062"/>
      <c r="E28" s="1063" t="s">
        <v>1400</v>
      </c>
      <c r="F28" s="1064"/>
      <c r="G28" s="1063" t="s">
        <v>1401</v>
      </c>
      <c r="H28" s="1065">
        <v>-1908102.35</v>
      </c>
      <c r="I28" s="1066" t="s">
        <v>293</v>
      </c>
      <c r="J28" s="1109">
        <f t="shared" si="0"/>
        <v>-1908102.35</v>
      </c>
      <c r="K28" s="1036" t="str">
        <f t="shared" si="1"/>
        <v xml:space="preserve"> </v>
      </c>
      <c r="L28" s="1036" t="str">
        <f t="shared" si="2"/>
        <v xml:space="preserve"> </v>
      </c>
      <c r="M28" s="1109" t="str">
        <f t="shared" si="3"/>
        <v xml:space="preserve"> </v>
      </c>
      <c r="N28" s="1109" t="str">
        <f t="shared" si="4"/>
        <v xml:space="preserve"> </v>
      </c>
    </row>
    <row r="29" spans="3:14">
      <c r="C29" s="1061" t="s">
        <v>619</v>
      </c>
      <c r="D29" s="1062" t="s">
        <v>339</v>
      </c>
      <c r="E29" s="1063" t="s">
        <v>819</v>
      </c>
      <c r="F29" s="1064"/>
      <c r="G29" s="1063" t="s">
        <v>637</v>
      </c>
      <c r="H29" s="1065">
        <v>-20453641.25</v>
      </c>
      <c r="I29" s="1066" t="s">
        <v>160</v>
      </c>
      <c r="J29" s="1109" t="str">
        <f t="shared" si="0"/>
        <v xml:space="preserve"> </v>
      </c>
      <c r="K29" s="1036" t="str">
        <f>IF($I29="T",#REF!," ")</f>
        <v xml:space="preserve"> </v>
      </c>
      <c r="L29" s="1036">
        <f t="shared" si="2"/>
        <v>-20453641.25</v>
      </c>
      <c r="M29" s="1109" t="str">
        <f>IF($I29="T&amp;D",#REF!," ")</f>
        <v xml:space="preserve"> </v>
      </c>
      <c r="N29" s="1109" t="str">
        <f t="shared" si="4"/>
        <v xml:space="preserve"> </v>
      </c>
    </row>
    <row r="30" spans="3:14">
      <c r="C30" s="1061" t="s">
        <v>619</v>
      </c>
      <c r="D30" s="1062" t="s">
        <v>339</v>
      </c>
      <c r="E30" s="1063" t="s">
        <v>1026</v>
      </c>
      <c r="F30" s="1064"/>
      <c r="G30" s="1063" t="s">
        <v>1027</v>
      </c>
      <c r="H30" s="1065">
        <v>-178005</v>
      </c>
      <c r="I30" s="1066" t="s">
        <v>160</v>
      </c>
      <c r="J30" s="1109" t="str">
        <f t="shared" si="0"/>
        <v xml:space="preserve"> </v>
      </c>
      <c r="K30" s="1036" t="str">
        <f t="shared" ref="K30:K42" si="5">IF($I30="T",$H29," ")</f>
        <v xml:space="preserve"> </v>
      </c>
      <c r="L30" s="1036">
        <f t="shared" si="2"/>
        <v>-178005</v>
      </c>
      <c r="M30" s="1109" t="str">
        <f t="shared" ref="M30:M42" si="6">IF($I30="T&amp;D",$H29," ")</f>
        <v xml:space="preserve"> </v>
      </c>
      <c r="N30" s="1109" t="str">
        <f t="shared" si="4"/>
        <v xml:space="preserve"> </v>
      </c>
    </row>
    <row r="31" spans="3:14">
      <c r="C31" s="1061" t="s">
        <v>619</v>
      </c>
      <c r="D31" s="1062" t="s">
        <v>339</v>
      </c>
      <c r="E31" s="1063" t="s">
        <v>820</v>
      </c>
      <c r="F31" s="1064"/>
      <c r="G31" s="1063" t="s">
        <v>639</v>
      </c>
      <c r="H31" s="1065">
        <v>5401712</v>
      </c>
      <c r="I31" s="1066" t="s">
        <v>293</v>
      </c>
      <c r="J31" s="1109">
        <f t="shared" si="0"/>
        <v>5401712</v>
      </c>
      <c r="K31" s="1036" t="str">
        <f t="shared" si="5"/>
        <v xml:space="preserve"> </v>
      </c>
      <c r="L31" s="1036" t="str">
        <f t="shared" si="2"/>
        <v xml:space="preserve"> </v>
      </c>
      <c r="M31" s="1109" t="str">
        <f t="shared" si="6"/>
        <v xml:space="preserve"> </v>
      </c>
      <c r="N31" s="1109" t="str">
        <f t="shared" si="4"/>
        <v xml:space="preserve"> </v>
      </c>
    </row>
    <row r="32" spans="3:14">
      <c r="C32" s="1061" t="s">
        <v>619</v>
      </c>
      <c r="D32" s="1062" t="s">
        <v>339</v>
      </c>
      <c r="E32" s="1063" t="s">
        <v>772</v>
      </c>
      <c r="F32" s="1064"/>
      <c r="G32" s="1063" t="s">
        <v>773</v>
      </c>
      <c r="H32" s="1065">
        <v>51036.88</v>
      </c>
      <c r="I32" s="1066" t="s">
        <v>293</v>
      </c>
      <c r="J32" s="1109">
        <f t="shared" si="0"/>
        <v>51036.88</v>
      </c>
      <c r="K32" s="1036" t="str">
        <f t="shared" si="5"/>
        <v xml:space="preserve"> </v>
      </c>
      <c r="L32" s="1036" t="str">
        <f t="shared" si="2"/>
        <v xml:space="preserve"> </v>
      </c>
      <c r="M32" s="1109" t="str">
        <f t="shared" si="6"/>
        <v xml:space="preserve"> </v>
      </c>
      <c r="N32" s="1109" t="str">
        <f t="shared" si="4"/>
        <v xml:space="preserve"> </v>
      </c>
    </row>
    <row r="33" spans="3:14">
      <c r="C33" s="1061" t="s">
        <v>619</v>
      </c>
      <c r="D33" s="1062" t="s">
        <v>339</v>
      </c>
      <c r="E33" s="1063" t="s">
        <v>1028</v>
      </c>
      <c r="F33" s="1064"/>
      <c r="G33" s="1063" t="s">
        <v>1029</v>
      </c>
      <c r="H33" s="1065">
        <v>31820.05</v>
      </c>
      <c r="I33" s="1066" t="s">
        <v>293</v>
      </c>
      <c r="J33" s="1109">
        <f t="shared" si="0"/>
        <v>31820.05</v>
      </c>
      <c r="K33" s="1036" t="str">
        <f t="shared" si="5"/>
        <v xml:space="preserve"> </v>
      </c>
      <c r="L33" s="1036" t="str">
        <f t="shared" si="2"/>
        <v xml:space="preserve"> </v>
      </c>
      <c r="M33" s="1109" t="str">
        <f t="shared" si="6"/>
        <v xml:space="preserve"> </v>
      </c>
      <c r="N33" s="1109" t="str">
        <f t="shared" si="4"/>
        <v xml:space="preserve"> </v>
      </c>
    </row>
    <row r="34" spans="3:14">
      <c r="C34" s="1061" t="s">
        <v>619</v>
      </c>
      <c r="D34" s="1062" t="s">
        <v>339</v>
      </c>
      <c r="E34" s="1063" t="s">
        <v>1030</v>
      </c>
      <c r="F34" s="1064"/>
      <c r="G34" s="1063" t="s">
        <v>1031</v>
      </c>
      <c r="H34" s="1065">
        <v>134171.85</v>
      </c>
      <c r="I34" s="1066" t="s">
        <v>293</v>
      </c>
      <c r="J34" s="1109">
        <f t="shared" si="0"/>
        <v>134171.85</v>
      </c>
      <c r="K34" s="1036" t="str">
        <f t="shared" si="5"/>
        <v xml:space="preserve"> </v>
      </c>
      <c r="L34" s="1036" t="str">
        <f t="shared" si="2"/>
        <v xml:space="preserve"> </v>
      </c>
      <c r="M34" s="1109" t="str">
        <f t="shared" si="6"/>
        <v xml:space="preserve"> </v>
      </c>
      <c r="N34" s="1109" t="str">
        <f t="shared" si="4"/>
        <v xml:space="preserve"> </v>
      </c>
    </row>
    <row r="35" spans="3:14">
      <c r="C35" s="1061" t="s">
        <v>619</v>
      </c>
      <c r="D35" s="1062" t="s">
        <v>339</v>
      </c>
      <c r="E35" s="1063" t="s">
        <v>1032</v>
      </c>
      <c r="F35" s="1064"/>
      <c r="G35" s="1063" t="s">
        <v>1033</v>
      </c>
      <c r="H35" s="1065">
        <v>150789.01999999999</v>
      </c>
      <c r="I35" s="1066" t="s">
        <v>293</v>
      </c>
      <c r="J35" s="1109">
        <f t="shared" si="0"/>
        <v>150789.01999999999</v>
      </c>
      <c r="K35" s="1036" t="str">
        <f t="shared" si="5"/>
        <v xml:space="preserve"> </v>
      </c>
      <c r="L35" s="1036" t="str">
        <f t="shared" si="2"/>
        <v xml:space="preserve"> </v>
      </c>
      <c r="M35" s="1109" t="str">
        <f t="shared" si="6"/>
        <v xml:space="preserve"> </v>
      </c>
      <c r="N35" s="1109" t="str">
        <f t="shared" si="4"/>
        <v xml:space="preserve"> </v>
      </c>
    </row>
    <row r="36" spans="3:14">
      <c r="C36" s="1061" t="s">
        <v>619</v>
      </c>
      <c r="D36" s="1062" t="s">
        <v>339</v>
      </c>
      <c r="E36" s="1063" t="s">
        <v>821</v>
      </c>
      <c r="F36" s="1064"/>
      <c r="G36" s="1063" t="s">
        <v>644</v>
      </c>
      <c r="H36" s="1065">
        <v>3804.85</v>
      </c>
      <c r="I36" s="1066" t="s">
        <v>302</v>
      </c>
      <c r="J36" s="1109" t="str">
        <f t="shared" si="0"/>
        <v xml:space="preserve"> </v>
      </c>
      <c r="K36" s="1036" t="str">
        <f t="shared" si="5"/>
        <v xml:space="preserve"> </v>
      </c>
      <c r="L36" s="1036" t="str">
        <f t="shared" si="2"/>
        <v xml:space="preserve"> </v>
      </c>
      <c r="M36" s="1109" t="str">
        <f t="shared" si="6"/>
        <v xml:space="preserve"> </v>
      </c>
      <c r="N36" s="1109">
        <f t="shared" si="4"/>
        <v>3804.85</v>
      </c>
    </row>
    <row r="37" spans="3:14">
      <c r="C37" s="1061" t="s">
        <v>619</v>
      </c>
      <c r="D37" s="1062" t="s">
        <v>339</v>
      </c>
      <c r="E37" s="1063" t="s">
        <v>822</v>
      </c>
      <c r="F37" s="1064"/>
      <c r="G37" s="1063" t="s">
        <v>645</v>
      </c>
      <c r="H37" s="1065">
        <v>-723597.71</v>
      </c>
      <c r="I37" s="1066" t="s">
        <v>160</v>
      </c>
      <c r="J37" s="1109" t="str">
        <f t="shared" si="0"/>
        <v xml:space="preserve"> </v>
      </c>
      <c r="K37" s="1036" t="str">
        <f t="shared" si="5"/>
        <v xml:space="preserve"> </v>
      </c>
      <c r="L37" s="1036">
        <f t="shared" si="2"/>
        <v>-723597.71</v>
      </c>
      <c r="M37" s="1109" t="str">
        <f t="shared" si="6"/>
        <v xml:space="preserve"> </v>
      </c>
      <c r="N37" s="1109" t="str">
        <f t="shared" si="4"/>
        <v xml:space="preserve"> </v>
      </c>
    </row>
    <row r="38" spans="3:14">
      <c r="C38" s="1061" t="s">
        <v>619</v>
      </c>
      <c r="D38" s="1062" t="s">
        <v>339</v>
      </c>
      <c r="E38" s="1063" t="s">
        <v>823</v>
      </c>
      <c r="F38" s="1064"/>
      <c r="G38" s="1063" t="s">
        <v>646</v>
      </c>
      <c r="H38" s="1065">
        <v>-14520138.109999999</v>
      </c>
      <c r="I38" s="1066" t="s">
        <v>302</v>
      </c>
      <c r="J38" s="1109" t="str">
        <f t="shared" si="0"/>
        <v xml:space="preserve"> </v>
      </c>
      <c r="K38" s="1036" t="str">
        <f t="shared" si="5"/>
        <v xml:space="preserve"> </v>
      </c>
      <c r="L38" s="1036" t="str">
        <f t="shared" si="2"/>
        <v xml:space="preserve"> </v>
      </c>
      <c r="M38" s="1109" t="str">
        <f t="shared" si="6"/>
        <v xml:space="preserve"> </v>
      </c>
      <c r="N38" s="1109">
        <f t="shared" si="4"/>
        <v>-14520138.109999999</v>
      </c>
    </row>
    <row r="39" spans="3:14">
      <c r="C39" s="1061" t="s">
        <v>619</v>
      </c>
      <c r="D39" s="1062" t="s">
        <v>339</v>
      </c>
      <c r="E39" s="1063" t="s">
        <v>824</v>
      </c>
      <c r="F39" s="1064"/>
      <c r="G39" s="1063" t="s">
        <v>648</v>
      </c>
      <c r="H39" s="1065">
        <v>-106931977.15000001</v>
      </c>
      <c r="I39" s="1066" t="s">
        <v>160</v>
      </c>
      <c r="J39" s="1109" t="str">
        <f t="shared" si="0"/>
        <v xml:space="preserve"> </v>
      </c>
      <c r="K39" s="1036" t="str">
        <f t="shared" si="5"/>
        <v xml:space="preserve"> </v>
      </c>
      <c r="L39" s="1036">
        <f t="shared" si="2"/>
        <v>-106931977.15000001</v>
      </c>
      <c r="M39" s="1109" t="str">
        <f t="shared" si="6"/>
        <v xml:space="preserve"> </v>
      </c>
      <c r="N39" s="1109" t="str">
        <f t="shared" si="4"/>
        <v xml:space="preserve"> </v>
      </c>
    </row>
    <row r="40" spans="3:14">
      <c r="C40" s="1061" t="s">
        <v>619</v>
      </c>
      <c r="D40" s="1062" t="s">
        <v>339</v>
      </c>
      <c r="E40" s="1063" t="s">
        <v>1034</v>
      </c>
      <c r="F40" s="1064"/>
      <c r="G40" s="1063" t="s">
        <v>1035</v>
      </c>
      <c r="H40" s="1065">
        <v>14486761</v>
      </c>
      <c r="I40" s="1066" t="s">
        <v>160</v>
      </c>
      <c r="J40" s="1109" t="str">
        <f t="shared" si="0"/>
        <v xml:space="preserve"> </v>
      </c>
      <c r="K40" s="1036" t="str">
        <f t="shared" si="5"/>
        <v xml:space="preserve"> </v>
      </c>
      <c r="L40" s="1036">
        <f t="shared" si="2"/>
        <v>14486761</v>
      </c>
      <c r="M40" s="1109" t="str">
        <f t="shared" si="6"/>
        <v xml:space="preserve"> </v>
      </c>
      <c r="N40" s="1109" t="str">
        <f t="shared" si="4"/>
        <v xml:space="preserve"> </v>
      </c>
    </row>
    <row r="41" spans="3:14">
      <c r="C41" s="1061" t="s">
        <v>619</v>
      </c>
      <c r="D41" s="1062" t="s">
        <v>339</v>
      </c>
      <c r="E41" s="1063" t="s">
        <v>825</v>
      </c>
      <c r="F41" s="1064"/>
      <c r="G41" s="1063" t="s">
        <v>687</v>
      </c>
      <c r="H41" s="1065">
        <v>-2940255.6</v>
      </c>
      <c r="I41" s="1066" t="s">
        <v>293</v>
      </c>
      <c r="J41" s="1109">
        <f t="shared" si="0"/>
        <v>-2940255.6</v>
      </c>
      <c r="K41" s="1036" t="str">
        <f t="shared" si="5"/>
        <v xml:space="preserve"> </v>
      </c>
      <c r="L41" s="1036" t="str">
        <f t="shared" si="2"/>
        <v xml:space="preserve"> </v>
      </c>
      <c r="M41" s="1109" t="str">
        <f t="shared" si="6"/>
        <v xml:space="preserve"> </v>
      </c>
      <c r="N41" s="1109" t="str">
        <f t="shared" si="4"/>
        <v xml:space="preserve"> </v>
      </c>
    </row>
    <row r="42" spans="3:14">
      <c r="C42" s="1061" t="s">
        <v>619</v>
      </c>
      <c r="D42" s="1062" t="s">
        <v>339</v>
      </c>
      <c r="E42" s="1063" t="s">
        <v>1036</v>
      </c>
      <c r="F42" s="1064"/>
      <c r="G42" s="1063" t="s">
        <v>1037</v>
      </c>
      <c r="H42" s="1065">
        <v>644392</v>
      </c>
      <c r="I42" s="1066" t="s">
        <v>293</v>
      </c>
      <c r="J42" s="1109">
        <f t="shared" si="0"/>
        <v>644392</v>
      </c>
      <c r="K42" s="1036" t="str">
        <f t="shared" si="5"/>
        <v xml:space="preserve"> </v>
      </c>
      <c r="L42" s="1036" t="str">
        <f t="shared" si="2"/>
        <v xml:space="preserve"> </v>
      </c>
      <c r="M42" s="1109" t="str">
        <f t="shared" si="6"/>
        <v xml:space="preserve"> </v>
      </c>
      <c r="N42" s="1109" t="str">
        <f t="shared" si="4"/>
        <v xml:space="preserve"> </v>
      </c>
    </row>
    <row r="43" spans="3:14">
      <c r="C43" s="1061" t="s">
        <v>619</v>
      </c>
      <c r="D43" s="1062" t="s">
        <v>339</v>
      </c>
      <c r="E43" s="1063" t="s">
        <v>1038</v>
      </c>
      <c r="F43" s="1064"/>
      <c r="G43" s="1063" t="s">
        <v>1039</v>
      </c>
      <c r="H43" s="1065">
        <v>-135065</v>
      </c>
      <c r="I43" s="1066" t="s">
        <v>160</v>
      </c>
      <c r="J43" s="1109" t="str">
        <f t="shared" si="0"/>
        <v xml:space="preserve"> </v>
      </c>
      <c r="K43" s="1036" t="str">
        <f>IF($I42="T",$H42," ")</f>
        <v xml:space="preserve"> </v>
      </c>
      <c r="L43" s="1036">
        <f t="shared" si="2"/>
        <v>-135065</v>
      </c>
      <c r="M43" s="1109" t="str">
        <f>IF($I42="T&amp;D",$H42," ")</f>
        <v xml:space="preserve"> </v>
      </c>
      <c r="N43" s="1109" t="str">
        <f t="shared" si="4"/>
        <v xml:space="preserve"> </v>
      </c>
    </row>
    <row r="44" spans="3:14">
      <c r="C44" s="1061" t="s">
        <v>619</v>
      </c>
      <c r="D44" s="1062"/>
      <c r="E44" s="1063" t="s">
        <v>826</v>
      </c>
      <c r="F44" s="1064"/>
      <c r="G44" s="1063" t="s">
        <v>1269</v>
      </c>
      <c r="H44" s="1065">
        <v>-4395006.42</v>
      </c>
      <c r="I44" s="1066" t="s">
        <v>1271</v>
      </c>
      <c r="J44" s="1065">
        <f>+'PSO WS C-4 Excess FIT'!E39</f>
        <v>-4395006.42</v>
      </c>
      <c r="K44" s="1065">
        <f>+'PSO WS C-4 Excess FIT'!E38</f>
        <v>0</v>
      </c>
      <c r="L44" s="1036" t="str">
        <f t="shared" si="2"/>
        <v xml:space="preserve"> </v>
      </c>
      <c r="M44" s="1110"/>
      <c r="N44" s="1109" t="str">
        <f t="shared" si="4"/>
        <v xml:space="preserve"> </v>
      </c>
    </row>
    <row r="45" spans="3:14">
      <c r="C45" s="1061" t="s">
        <v>619</v>
      </c>
      <c r="D45" s="1062"/>
      <c r="E45" s="1063" t="s">
        <v>826</v>
      </c>
      <c r="F45" s="1064"/>
      <c r="G45" s="1063" t="s">
        <v>1270</v>
      </c>
      <c r="H45" s="1065">
        <v>0</v>
      </c>
      <c r="I45" s="1066" t="s">
        <v>1271</v>
      </c>
      <c r="J45" s="1065">
        <f>+'PSO WS C-4 Excess FIT'!F23</f>
        <v>0</v>
      </c>
      <c r="K45" s="1065">
        <f>+'PSO WS C-4 Excess FIT'!F22</f>
        <v>0</v>
      </c>
      <c r="L45" s="1036" t="str">
        <f t="shared" si="2"/>
        <v xml:space="preserve"> </v>
      </c>
      <c r="M45" s="1109"/>
      <c r="N45" s="1109" t="str">
        <f t="shared" si="4"/>
        <v xml:space="preserve"> </v>
      </c>
    </row>
    <row r="46" spans="3:14" s="1114" customFormat="1">
      <c r="C46" s="1061" t="s">
        <v>619</v>
      </c>
      <c r="D46" s="1111"/>
      <c r="E46" s="1063" t="s">
        <v>1397</v>
      </c>
      <c r="F46" s="1064"/>
      <c r="G46" s="1063" t="s">
        <v>1398</v>
      </c>
      <c r="H46" s="1065">
        <v>-2160684.7999999998</v>
      </c>
      <c r="I46" s="1066" t="s">
        <v>160</v>
      </c>
      <c r="J46" s="1112"/>
      <c r="K46" s="1113"/>
      <c r="L46" s="1036">
        <f t="shared" si="2"/>
        <v>-2160684.7999999998</v>
      </c>
      <c r="M46" s="1112"/>
      <c r="N46" s="1109" t="str">
        <f t="shared" si="4"/>
        <v xml:space="preserve"> </v>
      </c>
    </row>
    <row r="47" spans="3:14">
      <c r="C47" s="1061"/>
      <c r="D47" s="1062"/>
      <c r="E47" s="1063"/>
      <c r="F47" s="1064"/>
      <c r="G47" s="1063"/>
      <c r="H47" s="1065"/>
      <c r="I47" s="1066"/>
      <c r="J47" s="1109" t="str">
        <f t="shared" ref="J47" si="7">IF(I47="e",H47," ")</f>
        <v xml:space="preserve"> </v>
      </c>
      <c r="K47" s="1036" t="str">
        <f>IF($I46="T",$H47," ")</f>
        <v xml:space="preserve"> </v>
      </c>
      <c r="L47" s="1036" t="str">
        <f>IF($I47="PTD",$H47," ")</f>
        <v xml:space="preserve"> </v>
      </c>
      <c r="M47" s="1109" t="str">
        <f>IF($I46="T&amp;D",$H47," ")</f>
        <v xml:space="preserve"> </v>
      </c>
      <c r="N47" s="1109" t="str">
        <f t="shared" ref="N47" si="8">IF(I47="Labor",H47," ")</f>
        <v xml:space="preserve"> </v>
      </c>
    </row>
    <row r="48" spans="3:14">
      <c r="C48" s="1061"/>
      <c r="D48" s="1062"/>
      <c r="E48" s="1063"/>
      <c r="F48" s="1064"/>
      <c r="G48" s="1063"/>
      <c r="H48" s="1065"/>
      <c r="I48" s="1066"/>
      <c r="J48" s="1065"/>
      <c r="K48" s="1065"/>
      <c r="L48" s="1065"/>
      <c r="M48" s="1065"/>
      <c r="N48" s="1065"/>
    </row>
    <row r="49" spans="3:15">
      <c r="C49" s="1106"/>
      <c r="D49" s="1075"/>
      <c r="H49" s="1036"/>
      <c r="I49" s="1115"/>
      <c r="J49" s="1109" t="str">
        <f>IF(I49="e",H49," ")</f>
        <v xml:space="preserve"> </v>
      </c>
      <c r="K49" s="1036" t="str">
        <f>IF($I49="T",$H49," ")</f>
        <v xml:space="preserve"> </v>
      </c>
      <c r="L49" s="1036" t="str">
        <f>IF($I49="PTD",$H49," ")</f>
        <v xml:space="preserve"> </v>
      </c>
      <c r="M49" s="1110" t="str">
        <f>IF($I44="T&amp;D",$H49," ")</f>
        <v xml:space="preserve"> </v>
      </c>
      <c r="N49" s="1109" t="str">
        <f>IF(I49="Labor",H49," ")</f>
        <v xml:space="preserve"> </v>
      </c>
    </row>
    <row r="50" spans="3:15">
      <c r="C50" s="1116">
        <v>282.10000000000002</v>
      </c>
      <c r="D50" s="1023"/>
      <c r="G50" s="1077" t="s">
        <v>161</v>
      </c>
      <c r="H50" s="1078">
        <f>SUM(H10:H49)</f>
        <v>-1025608963.29</v>
      </c>
      <c r="I50" s="1036"/>
      <c r="J50" s="1078">
        <f>SUM(J10:J49)</f>
        <v>2851285.3000000026</v>
      </c>
      <c r="K50" s="1078">
        <f>SUM(K10:K49)</f>
        <v>0</v>
      </c>
      <c r="L50" s="1078">
        <f>SUM(L10:L49)</f>
        <v>-1013943915.3299999</v>
      </c>
      <c r="M50" s="1078">
        <f>SUM(M10:M49)</f>
        <v>0</v>
      </c>
      <c r="N50" s="1078">
        <f>SUM(N10:N49)</f>
        <v>-14516333.26</v>
      </c>
      <c r="O50" s="1068"/>
    </row>
    <row r="51" spans="3:15" ht="25.5">
      <c r="G51" s="1079" t="s">
        <v>171</v>
      </c>
      <c r="H51" s="1117">
        <v>-1025608963</v>
      </c>
      <c r="I51" s="1080"/>
      <c r="J51" s="1036"/>
      <c r="K51" s="1036"/>
      <c r="L51" s="1036"/>
      <c r="M51" s="1036"/>
      <c r="N51" s="1036"/>
    </row>
    <row r="52" spans="3:15">
      <c r="H52" s="1081"/>
      <c r="I52" s="1036"/>
      <c r="J52" s="1036"/>
      <c r="K52" s="1036"/>
      <c r="L52" s="1036"/>
      <c r="M52" s="1036"/>
      <c r="N52" s="1036"/>
    </row>
    <row r="53" spans="3:15">
      <c r="H53" s="1081"/>
      <c r="I53" s="1036"/>
      <c r="J53" s="1036"/>
      <c r="K53" s="1036"/>
      <c r="L53" s="1036"/>
      <c r="M53" s="1036"/>
      <c r="N53" s="1036"/>
    </row>
    <row r="54" spans="3:15">
      <c r="C54" s="1061" t="s">
        <v>650</v>
      </c>
      <c r="D54" s="1082" t="s">
        <v>339</v>
      </c>
      <c r="E54" s="1063" t="s">
        <v>1040</v>
      </c>
      <c r="F54" s="1064"/>
      <c r="G54" s="1063" t="s">
        <v>1041</v>
      </c>
      <c r="H54" s="1065">
        <v>-5187610.83</v>
      </c>
      <c r="I54" s="1066" t="s">
        <v>293</v>
      </c>
      <c r="J54" s="1109">
        <f>H54</f>
        <v>-5187610.83</v>
      </c>
      <c r="K54" s="1036" t="str">
        <f t="shared" ref="K54:K99" si="9">IF($I54="T",$H54," ")</f>
        <v xml:space="preserve"> </v>
      </c>
      <c r="L54" s="1036" t="str">
        <f t="shared" ref="L54:L99" si="10">IF($I54="PTD",$H54," ")</f>
        <v xml:space="preserve"> </v>
      </c>
      <c r="M54" s="1109" t="str">
        <f t="shared" ref="M54:M99" si="11">IF($I54="T&amp;D",$H54," ")</f>
        <v xml:space="preserve"> </v>
      </c>
      <c r="N54" s="1109" t="str">
        <f>IF(I54="Labor",H54," ")</f>
        <v xml:space="preserve"> </v>
      </c>
    </row>
    <row r="55" spans="3:15">
      <c r="C55" s="1061" t="s">
        <v>650</v>
      </c>
      <c r="D55" s="1082" t="s">
        <v>339</v>
      </c>
      <c r="E55" s="1063" t="s">
        <v>827</v>
      </c>
      <c r="F55" s="1064"/>
      <c r="G55" s="1063" t="s">
        <v>651</v>
      </c>
      <c r="H55" s="1065">
        <v>-10016379.49</v>
      </c>
      <c r="I55" s="1066" t="s">
        <v>293</v>
      </c>
      <c r="J55" s="1109">
        <f t="shared" ref="J55:J99" si="12">IF(I55="e",H55," ")</f>
        <v>-10016379.49</v>
      </c>
      <c r="K55" s="1036" t="str">
        <f t="shared" si="9"/>
        <v xml:space="preserve"> </v>
      </c>
      <c r="L55" s="1036" t="str">
        <f t="shared" si="10"/>
        <v xml:space="preserve"> </v>
      </c>
      <c r="M55" s="1109" t="str">
        <f t="shared" si="11"/>
        <v xml:space="preserve"> </v>
      </c>
      <c r="N55" s="1109" t="str">
        <f t="shared" ref="N55:N99" si="13">IF(I55="Labor",H55," ")</f>
        <v xml:space="preserve"> </v>
      </c>
    </row>
    <row r="56" spans="3:15">
      <c r="C56" s="1061" t="s">
        <v>650</v>
      </c>
      <c r="D56" s="1082"/>
      <c r="E56" s="1063" t="s">
        <v>1402</v>
      </c>
      <c r="F56" s="1064"/>
      <c r="G56" s="1063" t="s">
        <v>1403</v>
      </c>
      <c r="H56" s="1065">
        <v>36750</v>
      </c>
      <c r="I56" s="1066" t="s">
        <v>293</v>
      </c>
      <c r="J56" s="1109">
        <f t="shared" ref="J56:J92" si="14">IF(I56="e",H56," ")</f>
        <v>36750</v>
      </c>
      <c r="K56" s="1036" t="str">
        <f t="shared" si="9"/>
        <v xml:space="preserve"> </v>
      </c>
      <c r="L56" s="1036" t="str">
        <f t="shared" si="10"/>
        <v xml:space="preserve"> </v>
      </c>
      <c r="M56" s="1109" t="str">
        <f t="shared" si="11"/>
        <v xml:space="preserve"> </v>
      </c>
      <c r="N56" s="1109" t="str">
        <f t="shared" ref="N56:N93" si="15">IF(I56="Labor",H56," ")</f>
        <v xml:space="preserve"> </v>
      </c>
    </row>
    <row r="57" spans="3:15">
      <c r="C57" s="1061" t="s">
        <v>650</v>
      </c>
      <c r="D57" s="1082" t="s">
        <v>339</v>
      </c>
      <c r="E57" s="1063" t="s">
        <v>695</v>
      </c>
      <c r="F57" s="1064"/>
      <c r="G57" s="1063" t="s">
        <v>696</v>
      </c>
      <c r="H57" s="1065">
        <v>1490.48</v>
      </c>
      <c r="I57" s="1066" t="s">
        <v>293</v>
      </c>
      <c r="J57" s="1109">
        <f t="shared" si="14"/>
        <v>1490.48</v>
      </c>
      <c r="K57" s="1036" t="str">
        <f t="shared" si="9"/>
        <v xml:space="preserve"> </v>
      </c>
      <c r="L57" s="1036" t="str">
        <f t="shared" si="10"/>
        <v xml:space="preserve"> </v>
      </c>
      <c r="M57" s="1109" t="str">
        <f t="shared" si="11"/>
        <v xml:space="preserve"> </v>
      </c>
      <c r="N57" s="1109" t="str">
        <f t="shared" si="15"/>
        <v xml:space="preserve"> </v>
      </c>
    </row>
    <row r="58" spans="3:15">
      <c r="C58" s="1061" t="s">
        <v>650</v>
      </c>
      <c r="D58" s="1082"/>
      <c r="E58" s="1063" t="s">
        <v>1042</v>
      </c>
      <c r="F58" s="1064"/>
      <c r="G58" s="1063" t="s">
        <v>1043</v>
      </c>
      <c r="H58" s="1065">
        <v>453736.28</v>
      </c>
      <c r="I58" s="1066" t="s">
        <v>160</v>
      </c>
      <c r="J58" s="1109" t="str">
        <f t="shared" si="14"/>
        <v xml:space="preserve"> </v>
      </c>
      <c r="K58" s="1036" t="str">
        <f t="shared" si="9"/>
        <v xml:space="preserve"> </v>
      </c>
      <c r="L58" s="1036">
        <f t="shared" si="10"/>
        <v>453736.28</v>
      </c>
      <c r="M58" s="1109" t="str">
        <f t="shared" si="11"/>
        <v xml:space="preserve"> </v>
      </c>
      <c r="N58" s="1109" t="str">
        <f t="shared" si="15"/>
        <v xml:space="preserve"> </v>
      </c>
    </row>
    <row r="59" spans="3:15">
      <c r="C59" s="1061" t="s">
        <v>650</v>
      </c>
      <c r="D59" s="1082"/>
      <c r="E59" s="1063" t="s">
        <v>828</v>
      </c>
      <c r="F59" s="1064"/>
      <c r="G59" s="1063" t="s">
        <v>652</v>
      </c>
      <c r="H59" s="1065">
        <v>-242126.5</v>
      </c>
      <c r="I59" s="1066" t="s">
        <v>293</v>
      </c>
      <c r="J59" s="1109">
        <f t="shared" si="14"/>
        <v>-242126.5</v>
      </c>
      <c r="K59" s="1036" t="str">
        <f t="shared" si="9"/>
        <v xml:space="preserve"> </v>
      </c>
      <c r="L59" s="1036" t="str">
        <f t="shared" si="10"/>
        <v xml:space="preserve"> </v>
      </c>
      <c r="M59" s="1109" t="str">
        <f t="shared" si="11"/>
        <v xml:space="preserve"> </v>
      </c>
      <c r="N59" s="1109" t="str">
        <f t="shared" si="15"/>
        <v xml:space="preserve"> </v>
      </c>
    </row>
    <row r="60" spans="3:15">
      <c r="C60" s="1061" t="s">
        <v>650</v>
      </c>
      <c r="D60" s="1082" t="s">
        <v>339</v>
      </c>
      <c r="E60" s="1063" t="s">
        <v>829</v>
      </c>
      <c r="F60" s="1064"/>
      <c r="G60" s="1063" t="s">
        <v>654</v>
      </c>
      <c r="H60" s="1065">
        <v>39580.1</v>
      </c>
      <c r="I60" s="1066" t="s">
        <v>293</v>
      </c>
      <c r="J60" s="1109">
        <f t="shared" si="14"/>
        <v>39580.1</v>
      </c>
      <c r="K60" s="1036" t="str">
        <f t="shared" si="9"/>
        <v xml:space="preserve"> </v>
      </c>
      <c r="L60" s="1036" t="str">
        <f t="shared" si="10"/>
        <v xml:space="preserve"> </v>
      </c>
      <c r="M60" s="1109" t="str">
        <f t="shared" si="11"/>
        <v xml:space="preserve"> </v>
      </c>
      <c r="N60" s="1109" t="str">
        <f t="shared" si="15"/>
        <v xml:space="preserve"> </v>
      </c>
    </row>
    <row r="61" spans="3:15">
      <c r="C61" s="1061" t="s">
        <v>650</v>
      </c>
      <c r="D61" s="1082" t="s">
        <v>339</v>
      </c>
      <c r="E61" s="1063" t="s">
        <v>830</v>
      </c>
      <c r="F61" s="1064"/>
      <c r="G61" s="1063" t="s">
        <v>655</v>
      </c>
      <c r="H61" s="1065">
        <v>-29031048.25</v>
      </c>
      <c r="I61" s="1066" t="s">
        <v>302</v>
      </c>
      <c r="J61" s="1109" t="str">
        <f t="shared" si="14"/>
        <v xml:space="preserve"> </v>
      </c>
      <c r="K61" s="1036" t="str">
        <f t="shared" si="9"/>
        <v xml:space="preserve"> </v>
      </c>
      <c r="L61" s="1036" t="str">
        <f t="shared" si="10"/>
        <v xml:space="preserve"> </v>
      </c>
      <c r="M61" s="1109" t="str">
        <f t="shared" si="11"/>
        <v xml:space="preserve"> </v>
      </c>
      <c r="N61" s="1109">
        <f t="shared" si="15"/>
        <v>-29031048.25</v>
      </c>
    </row>
    <row r="62" spans="3:15">
      <c r="C62" s="1061" t="s">
        <v>650</v>
      </c>
      <c r="D62" s="1082" t="s">
        <v>339</v>
      </c>
      <c r="E62" s="1063" t="s">
        <v>831</v>
      </c>
      <c r="F62" s="1064"/>
      <c r="G62" s="1063" t="s">
        <v>656</v>
      </c>
      <c r="H62" s="1065">
        <v>27152431.949999999</v>
      </c>
      <c r="I62" s="1066" t="s">
        <v>293</v>
      </c>
      <c r="J62" s="1109">
        <f t="shared" si="14"/>
        <v>27152431.949999999</v>
      </c>
      <c r="K62" s="1036" t="str">
        <f t="shared" si="9"/>
        <v xml:space="preserve"> </v>
      </c>
      <c r="L62" s="1036" t="str">
        <f t="shared" si="10"/>
        <v xml:space="preserve"> </v>
      </c>
      <c r="M62" s="1109" t="str">
        <f t="shared" si="11"/>
        <v xml:space="preserve"> </v>
      </c>
      <c r="N62" s="1109" t="str">
        <f t="shared" si="15"/>
        <v xml:space="preserve"> </v>
      </c>
    </row>
    <row r="63" spans="3:15">
      <c r="C63" s="1061" t="s">
        <v>650</v>
      </c>
      <c r="D63" s="1082" t="s">
        <v>339</v>
      </c>
      <c r="E63" s="1063" t="s">
        <v>1044</v>
      </c>
      <c r="F63" s="1064"/>
      <c r="G63" s="1063" t="s">
        <v>1045</v>
      </c>
      <c r="H63" s="1065">
        <v>0</v>
      </c>
      <c r="I63" s="1066" t="s">
        <v>293</v>
      </c>
      <c r="J63" s="1109">
        <f t="shared" si="14"/>
        <v>0</v>
      </c>
      <c r="K63" s="1036" t="str">
        <f t="shared" si="9"/>
        <v xml:space="preserve"> </v>
      </c>
      <c r="L63" s="1036" t="str">
        <f t="shared" si="10"/>
        <v xml:space="preserve"> </v>
      </c>
      <c r="M63" s="1109" t="str">
        <f t="shared" si="11"/>
        <v xml:space="preserve"> </v>
      </c>
      <c r="N63" s="1109" t="str">
        <f t="shared" si="15"/>
        <v xml:space="preserve"> </v>
      </c>
    </row>
    <row r="64" spans="3:15">
      <c r="C64" s="1061" t="s">
        <v>650</v>
      </c>
      <c r="D64" s="1082" t="s">
        <v>339</v>
      </c>
      <c r="E64" s="1063" t="s">
        <v>832</v>
      </c>
      <c r="F64" s="1064"/>
      <c r="G64" s="1063" t="s">
        <v>657</v>
      </c>
      <c r="H64" s="1065">
        <v>-14741425.630000001</v>
      </c>
      <c r="I64" s="1066" t="s">
        <v>160</v>
      </c>
      <c r="J64" s="1109" t="str">
        <f t="shared" si="14"/>
        <v xml:space="preserve"> </v>
      </c>
      <c r="K64" s="1036" t="str">
        <f t="shared" si="9"/>
        <v xml:space="preserve"> </v>
      </c>
      <c r="L64" s="1036">
        <f t="shared" si="10"/>
        <v>-14741425.630000001</v>
      </c>
      <c r="M64" s="1109" t="str">
        <f t="shared" si="11"/>
        <v xml:space="preserve"> </v>
      </c>
      <c r="N64" s="1109" t="str">
        <f t="shared" si="15"/>
        <v xml:space="preserve"> </v>
      </c>
    </row>
    <row r="65" spans="3:14">
      <c r="C65" s="1061" t="s">
        <v>650</v>
      </c>
      <c r="D65" s="1082" t="s">
        <v>339</v>
      </c>
      <c r="E65" s="1063" t="s">
        <v>833</v>
      </c>
      <c r="F65" s="1064"/>
      <c r="G65" s="1063" t="s">
        <v>658</v>
      </c>
      <c r="H65" s="1065">
        <v>-213933.36</v>
      </c>
      <c r="I65" s="1066" t="s">
        <v>293</v>
      </c>
      <c r="J65" s="1109">
        <f t="shared" si="14"/>
        <v>-213933.36</v>
      </c>
      <c r="K65" s="1036" t="str">
        <f t="shared" si="9"/>
        <v xml:space="preserve"> </v>
      </c>
      <c r="L65" s="1036" t="str">
        <f t="shared" si="10"/>
        <v xml:space="preserve"> </v>
      </c>
      <c r="M65" s="1109" t="str">
        <f t="shared" si="11"/>
        <v xml:space="preserve"> </v>
      </c>
      <c r="N65" s="1109" t="str">
        <f t="shared" si="15"/>
        <v xml:space="preserve"> </v>
      </c>
    </row>
    <row r="66" spans="3:14">
      <c r="C66" s="1061" t="s">
        <v>650</v>
      </c>
      <c r="D66" s="1082" t="s">
        <v>339</v>
      </c>
      <c r="E66" s="1063" t="s">
        <v>834</v>
      </c>
      <c r="F66" s="1064"/>
      <c r="G66" s="1063" t="s">
        <v>659</v>
      </c>
      <c r="H66" s="1065">
        <v>-4562985.68</v>
      </c>
      <c r="I66" s="1066" t="s">
        <v>293</v>
      </c>
      <c r="J66" s="1109">
        <f t="shared" si="14"/>
        <v>-4562985.68</v>
      </c>
      <c r="K66" s="1036" t="str">
        <f t="shared" si="9"/>
        <v xml:space="preserve"> </v>
      </c>
      <c r="L66" s="1036" t="str">
        <f t="shared" si="10"/>
        <v xml:space="preserve"> </v>
      </c>
      <c r="M66" s="1109" t="str">
        <f t="shared" si="11"/>
        <v xml:space="preserve"> </v>
      </c>
      <c r="N66" s="1109" t="str">
        <f t="shared" si="15"/>
        <v xml:space="preserve"> </v>
      </c>
    </row>
    <row r="67" spans="3:14">
      <c r="C67" s="1061" t="s">
        <v>650</v>
      </c>
      <c r="D67" s="1082" t="s">
        <v>339</v>
      </c>
      <c r="E67" s="1063" t="s">
        <v>835</v>
      </c>
      <c r="F67" s="1064"/>
      <c r="G67" s="1063" t="s">
        <v>660</v>
      </c>
      <c r="H67" s="1065">
        <v>35303.31</v>
      </c>
      <c r="I67" s="1066" t="s">
        <v>293</v>
      </c>
      <c r="J67" s="1109">
        <f t="shared" si="14"/>
        <v>35303.31</v>
      </c>
      <c r="K67" s="1036" t="str">
        <f t="shared" si="9"/>
        <v xml:space="preserve"> </v>
      </c>
      <c r="L67" s="1036" t="str">
        <f t="shared" si="10"/>
        <v xml:space="preserve"> </v>
      </c>
      <c r="M67" s="1109" t="str">
        <f t="shared" si="11"/>
        <v xml:space="preserve"> </v>
      </c>
      <c r="N67" s="1109" t="str">
        <f t="shared" si="15"/>
        <v xml:space="preserve"> </v>
      </c>
    </row>
    <row r="68" spans="3:14">
      <c r="C68" s="1061" t="s">
        <v>650</v>
      </c>
      <c r="D68" s="1082" t="s">
        <v>339</v>
      </c>
      <c r="E68" s="1063" t="s">
        <v>1046</v>
      </c>
      <c r="F68" s="1064"/>
      <c r="G68" s="1063" t="s">
        <v>1047</v>
      </c>
      <c r="H68" s="1065">
        <v>0.22</v>
      </c>
      <c r="I68" s="1066" t="s">
        <v>293</v>
      </c>
      <c r="J68" s="1109">
        <f t="shared" si="14"/>
        <v>0.22</v>
      </c>
      <c r="K68" s="1036" t="str">
        <f t="shared" si="9"/>
        <v xml:space="preserve"> </v>
      </c>
      <c r="L68" s="1036" t="str">
        <f t="shared" si="10"/>
        <v xml:space="preserve"> </v>
      </c>
      <c r="M68" s="1109" t="str">
        <f t="shared" si="11"/>
        <v xml:space="preserve"> </v>
      </c>
      <c r="N68" s="1109" t="str">
        <f t="shared" si="15"/>
        <v xml:space="preserve"> </v>
      </c>
    </row>
    <row r="69" spans="3:14">
      <c r="C69" s="1061" t="s">
        <v>650</v>
      </c>
      <c r="D69" s="1082" t="s">
        <v>339</v>
      </c>
      <c r="E69" s="1063" t="s">
        <v>1048</v>
      </c>
      <c r="F69" s="1064"/>
      <c r="G69" s="1063" t="s">
        <v>1049</v>
      </c>
      <c r="H69" s="1065">
        <v>-0.19</v>
      </c>
      <c r="I69" s="1066" t="s">
        <v>293</v>
      </c>
      <c r="J69" s="1109">
        <f t="shared" si="14"/>
        <v>-0.19</v>
      </c>
      <c r="K69" s="1036" t="str">
        <f t="shared" si="9"/>
        <v xml:space="preserve"> </v>
      </c>
      <c r="L69" s="1036" t="str">
        <f t="shared" si="10"/>
        <v xml:space="preserve"> </v>
      </c>
      <c r="M69" s="1109" t="str">
        <f t="shared" si="11"/>
        <v xml:space="preserve"> </v>
      </c>
      <c r="N69" s="1109" t="str">
        <f t="shared" si="15"/>
        <v xml:space="preserve"> </v>
      </c>
    </row>
    <row r="70" spans="3:14">
      <c r="C70" s="1061" t="s">
        <v>650</v>
      </c>
      <c r="D70" s="1082" t="s">
        <v>339</v>
      </c>
      <c r="E70" s="1063" t="s">
        <v>1050</v>
      </c>
      <c r="F70" s="1064"/>
      <c r="G70" s="1063" t="s">
        <v>1051</v>
      </c>
      <c r="H70" s="1065">
        <v>0.35</v>
      </c>
      <c r="I70" s="1066" t="s">
        <v>159</v>
      </c>
      <c r="J70" s="1109" t="str">
        <f t="shared" si="14"/>
        <v xml:space="preserve"> </v>
      </c>
      <c r="K70" s="1036" t="str">
        <f t="shared" si="9"/>
        <v xml:space="preserve"> </v>
      </c>
      <c r="L70" s="1036" t="str">
        <f t="shared" si="10"/>
        <v xml:space="preserve"> </v>
      </c>
      <c r="M70" s="1109">
        <f t="shared" si="11"/>
        <v>0.35</v>
      </c>
      <c r="N70" s="1109" t="str">
        <f t="shared" si="15"/>
        <v xml:space="preserve"> </v>
      </c>
    </row>
    <row r="71" spans="3:14">
      <c r="C71" s="1061" t="s">
        <v>650</v>
      </c>
      <c r="D71" s="1082" t="s">
        <v>339</v>
      </c>
      <c r="E71" s="1063" t="s">
        <v>836</v>
      </c>
      <c r="F71" s="1064"/>
      <c r="G71" s="1063" t="s">
        <v>663</v>
      </c>
      <c r="H71" s="1065">
        <v>-27152431.949999999</v>
      </c>
      <c r="I71" s="1066" t="s">
        <v>293</v>
      </c>
      <c r="J71" s="1109">
        <f t="shared" si="14"/>
        <v>-27152431.949999999</v>
      </c>
      <c r="K71" s="1036" t="str">
        <f t="shared" si="9"/>
        <v xml:space="preserve"> </v>
      </c>
      <c r="L71" s="1036" t="str">
        <f t="shared" si="10"/>
        <v xml:space="preserve"> </v>
      </c>
      <c r="M71" s="1109" t="str">
        <f t="shared" si="11"/>
        <v xml:space="preserve"> </v>
      </c>
      <c r="N71" s="1109" t="str">
        <f t="shared" si="15"/>
        <v xml:space="preserve"> </v>
      </c>
    </row>
    <row r="72" spans="3:14">
      <c r="C72" s="1061" t="s">
        <v>650</v>
      </c>
      <c r="D72" s="1082" t="s">
        <v>339</v>
      </c>
      <c r="E72" s="1063" t="s">
        <v>837</v>
      </c>
      <c r="F72" s="1064"/>
      <c r="G72" s="1063" t="s">
        <v>664</v>
      </c>
      <c r="H72" s="1065">
        <v>-422412.9</v>
      </c>
      <c r="I72" s="1066" t="s">
        <v>293</v>
      </c>
      <c r="J72" s="1109">
        <f t="shared" si="14"/>
        <v>-422412.9</v>
      </c>
      <c r="K72" s="1036" t="str">
        <f t="shared" si="9"/>
        <v xml:space="preserve"> </v>
      </c>
      <c r="L72" s="1036" t="str">
        <f t="shared" si="10"/>
        <v xml:space="preserve"> </v>
      </c>
      <c r="M72" s="1109" t="str">
        <f t="shared" si="11"/>
        <v xml:space="preserve"> </v>
      </c>
      <c r="N72" s="1109" t="str">
        <f t="shared" si="15"/>
        <v xml:space="preserve"> </v>
      </c>
    </row>
    <row r="73" spans="3:14">
      <c r="C73" s="1061" t="s">
        <v>650</v>
      </c>
      <c r="D73" s="1082" t="s">
        <v>339</v>
      </c>
      <c r="E73" s="1063" t="s">
        <v>838</v>
      </c>
      <c r="F73" s="1064"/>
      <c r="G73" s="1063" t="s">
        <v>665</v>
      </c>
      <c r="H73" s="1065">
        <v>2146660.27</v>
      </c>
      <c r="I73" s="1066" t="s">
        <v>293</v>
      </c>
      <c r="J73" s="1109">
        <f t="shared" si="14"/>
        <v>2146660.27</v>
      </c>
      <c r="K73" s="1036" t="str">
        <f t="shared" si="9"/>
        <v xml:space="preserve"> </v>
      </c>
      <c r="L73" s="1036" t="str">
        <f t="shared" si="10"/>
        <v xml:space="preserve"> </v>
      </c>
      <c r="M73" s="1109" t="str">
        <f t="shared" si="11"/>
        <v xml:space="preserve"> </v>
      </c>
      <c r="N73" s="1109" t="str">
        <f t="shared" si="15"/>
        <v xml:space="preserve"> </v>
      </c>
    </row>
    <row r="74" spans="3:14">
      <c r="C74" s="1061" t="s">
        <v>650</v>
      </c>
      <c r="D74" s="1082"/>
      <c r="E74" s="1063" t="s">
        <v>1408</v>
      </c>
      <c r="F74" s="1064"/>
      <c r="G74" s="1063" t="s">
        <v>1409</v>
      </c>
      <c r="H74" s="1065">
        <v>0</v>
      </c>
      <c r="I74" s="1066" t="s">
        <v>293</v>
      </c>
      <c r="J74" s="1109">
        <f t="shared" ref="J74:J90" si="16">IF(I74="e",H74," ")</f>
        <v>0</v>
      </c>
      <c r="K74" s="1036" t="str">
        <f t="shared" si="9"/>
        <v xml:space="preserve"> </v>
      </c>
      <c r="L74" s="1036" t="str">
        <f t="shared" si="10"/>
        <v xml:space="preserve"> </v>
      </c>
      <c r="M74" s="1109" t="str">
        <f t="shared" si="11"/>
        <v xml:space="preserve"> </v>
      </c>
      <c r="N74" s="1109" t="str">
        <f t="shared" ref="N74:N90" si="17">IF(I74="Labor",H74," ")</f>
        <v xml:space="preserve"> </v>
      </c>
    </row>
    <row r="75" spans="3:14">
      <c r="C75" s="1061" t="s">
        <v>650</v>
      </c>
      <c r="D75" s="1082" t="s">
        <v>339</v>
      </c>
      <c r="E75" s="1063" t="s">
        <v>1052</v>
      </c>
      <c r="F75" s="1064"/>
      <c r="G75" s="1063" t="s">
        <v>1053</v>
      </c>
      <c r="H75" s="1065">
        <v>-1528775.31</v>
      </c>
      <c r="I75" s="1066" t="s">
        <v>293</v>
      </c>
      <c r="J75" s="1109">
        <f t="shared" si="16"/>
        <v>-1528775.31</v>
      </c>
      <c r="K75" s="1036" t="str">
        <f t="shared" si="9"/>
        <v xml:space="preserve"> </v>
      </c>
      <c r="L75" s="1036" t="str">
        <f t="shared" si="10"/>
        <v xml:space="preserve"> </v>
      </c>
      <c r="M75" s="1109" t="str">
        <f t="shared" si="11"/>
        <v xml:space="preserve"> </v>
      </c>
      <c r="N75" s="1109" t="str">
        <f t="shared" si="17"/>
        <v xml:space="preserve"> </v>
      </c>
    </row>
    <row r="76" spans="3:14">
      <c r="C76" s="1061" t="s">
        <v>650</v>
      </c>
      <c r="D76" s="1082" t="s">
        <v>339</v>
      </c>
      <c r="E76" s="1063" t="s">
        <v>1054</v>
      </c>
      <c r="F76" s="1064"/>
      <c r="G76" s="1063" t="s">
        <v>1055</v>
      </c>
      <c r="H76" s="1065">
        <v>0</v>
      </c>
      <c r="I76" s="1066" t="s">
        <v>293</v>
      </c>
      <c r="J76" s="1109">
        <f t="shared" si="16"/>
        <v>0</v>
      </c>
      <c r="K76" s="1036" t="str">
        <f t="shared" si="9"/>
        <v xml:space="preserve"> </v>
      </c>
      <c r="L76" s="1036" t="str">
        <f t="shared" si="10"/>
        <v xml:space="preserve"> </v>
      </c>
      <c r="M76" s="1109" t="str">
        <f t="shared" si="11"/>
        <v xml:space="preserve"> </v>
      </c>
      <c r="N76" s="1109" t="str">
        <f t="shared" si="17"/>
        <v xml:space="preserve"> </v>
      </c>
    </row>
    <row r="77" spans="3:14">
      <c r="C77" s="1061" t="s">
        <v>650</v>
      </c>
      <c r="D77" s="1082" t="s">
        <v>339</v>
      </c>
      <c r="E77" s="1063" t="s">
        <v>1056</v>
      </c>
      <c r="F77" s="1064"/>
      <c r="G77" s="1063" t="s">
        <v>1057</v>
      </c>
      <c r="H77" s="1065">
        <v>-23279185.260000002</v>
      </c>
      <c r="I77" s="1066" t="s">
        <v>293</v>
      </c>
      <c r="J77" s="1109">
        <f t="shared" si="16"/>
        <v>-23279185.260000002</v>
      </c>
      <c r="K77" s="1036" t="str">
        <f t="shared" si="9"/>
        <v xml:space="preserve"> </v>
      </c>
      <c r="L77" s="1036" t="str">
        <f t="shared" si="10"/>
        <v xml:space="preserve"> </v>
      </c>
      <c r="M77" s="1109" t="str">
        <f t="shared" si="11"/>
        <v xml:space="preserve"> </v>
      </c>
      <c r="N77" s="1109" t="str">
        <f t="shared" si="17"/>
        <v xml:space="preserve"> </v>
      </c>
    </row>
    <row r="78" spans="3:14">
      <c r="C78" s="1061" t="s">
        <v>650</v>
      </c>
      <c r="D78" s="1082" t="s">
        <v>339</v>
      </c>
      <c r="E78" s="1063" t="s">
        <v>1058</v>
      </c>
      <c r="F78" s="1064"/>
      <c r="G78" s="1063" t="s">
        <v>1059</v>
      </c>
      <c r="H78" s="1065">
        <v>9716063.2799999993</v>
      </c>
      <c r="I78" s="1066" t="s">
        <v>293</v>
      </c>
      <c r="J78" s="1109">
        <f t="shared" si="16"/>
        <v>9716063.2799999993</v>
      </c>
      <c r="K78" s="1036" t="str">
        <f t="shared" si="9"/>
        <v xml:space="preserve"> </v>
      </c>
      <c r="L78" s="1036" t="str">
        <f t="shared" si="10"/>
        <v xml:space="preserve"> </v>
      </c>
      <c r="M78" s="1109" t="str">
        <f t="shared" si="11"/>
        <v xml:space="preserve"> </v>
      </c>
      <c r="N78" s="1109" t="str">
        <f t="shared" si="17"/>
        <v xml:space="preserve"> </v>
      </c>
    </row>
    <row r="79" spans="3:14">
      <c r="C79" s="1061" t="s">
        <v>650</v>
      </c>
      <c r="D79" s="1082" t="s">
        <v>339</v>
      </c>
      <c r="E79" s="1063" t="s">
        <v>1060</v>
      </c>
      <c r="F79" s="1064"/>
      <c r="G79" s="1063" t="s">
        <v>1061</v>
      </c>
      <c r="H79" s="1065">
        <v>-5696701.3899999997</v>
      </c>
      <c r="I79" s="1066" t="s">
        <v>293</v>
      </c>
      <c r="J79" s="1109">
        <f t="shared" si="16"/>
        <v>-5696701.3899999997</v>
      </c>
      <c r="K79" s="1036" t="str">
        <f t="shared" si="9"/>
        <v xml:space="preserve"> </v>
      </c>
      <c r="L79" s="1036" t="str">
        <f t="shared" si="10"/>
        <v xml:space="preserve"> </v>
      </c>
      <c r="M79" s="1109" t="str">
        <f t="shared" si="11"/>
        <v xml:space="preserve"> </v>
      </c>
      <c r="N79" s="1109" t="str">
        <f t="shared" si="17"/>
        <v xml:space="preserve"> </v>
      </c>
    </row>
    <row r="80" spans="3:14">
      <c r="C80" s="1061" t="s">
        <v>650</v>
      </c>
      <c r="D80" s="1082" t="s">
        <v>339</v>
      </c>
      <c r="E80" s="1063" t="s">
        <v>1062</v>
      </c>
      <c r="F80" s="1064"/>
      <c r="G80" s="1063" t="s">
        <v>1063</v>
      </c>
      <c r="H80" s="1065">
        <v>0</v>
      </c>
      <c r="I80" s="1066" t="s">
        <v>293</v>
      </c>
      <c r="J80" s="1109">
        <f t="shared" si="16"/>
        <v>0</v>
      </c>
      <c r="K80" s="1036" t="str">
        <f t="shared" si="9"/>
        <v xml:space="preserve"> </v>
      </c>
      <c r="L80" s="1036" t="str">
        <f t="shared" si="10"/>
        <v xml:space="preserve"> </v>
      </c>
      <c r="M80" s="1109" t="str">
        <f t="shared" si="11"/>
        <v xml:space="preserve"> </v>
      </c>
      <c r="N80" s="1109" t="str">
        <f t="shared" si="17"/>
        <v xml:space="preserve"> </v>
      </c>
    </row>
    <row r="81" spans="3:14">
      <c r="C81" s="1061" t="s">
        <v>650</v>
      </c>
      <c r="D81" s="1082" t="s">
        <v>339</v>
      </c>
      <c r="E81" s="1063" t="s">
        <v>1064</v>
      </c>
      <c r="F81" s="1064"/>
      <c r="G81" s="1063" t="s">
        <v>1065</v>
      </c>
      <c r="H81" s="1065">
        <v>-14743899.01</v>
      </c>
      <c r="I81" s="1066" t="s">
        <v>293</v>
      </c>
      <c r="J81" s="1109">
        <f t="shared" si="16"/>
        <v>-14743899.01</v>
      </c>
      <c r="K81" s="1036" t="str">
        <f t="shared" si="9"/>
        <v xml:space="preserve"> </v>
      </c>
      <c r="L81" s="1036" t="str">
        <f t="shared" si="10"/>
        <v xml:space="preserve"> </v>
      </c>
      <c r="M81" s="1109" t="str">
        <f t="shared" si="11"/>
        <v xml:space="preserve"> </v>
      </c>
      <c r="N81" s="1109" t="str">
        <f t="shared" si="17"/>
        <v xml:space="preserve"> </v>
      </c>
    </row>
    <row r="82" spans="3:14">
      <c r="C82" s="1061" t="s">
        <v>650</v>
      </c>
      <c r="D82" s="1082" t="s">
        <v>339</v>
      </c>
      <c r="E82" s="1063" t="s">
        <v>1066</v>
      </c>
      <c r="F82" s="1064"/>
      <c r="G82" s="1063" t="s">
        <v>1067</v>
      </c>
      <c r="H82" s="1065">
        <v>4895670.3899999997</v>
      </c>
      <c r="I82" s="1066" t="s">
        <v>293</v>
      </c>
      <c r="J82" s="1109">
        <f t="shared" si="16"/>
        <v>4895670.3899999997</v>
      </c>
      <c r="K82" s="1036" t="str">
        <f t="shared" si="9"/>
        <v xml:space="preserve"> </v>
      </c>
      <c r="L82" s="1036" t="str">
        <f t="shared" si="10"/>
        <v xml:space="preserve"> </v>
      </c>
      <c r="M82" s="1109" t="str">
        <f t="shared" si="11"/>
        <v xml:space="preserve"> </v>
      </c>
      <c r="N82" s="1109" t="str">
        <f t="shared" si="17"/>
        <v xml:space="preserve"> </v>
      </c>
    </row>
    <row r="83" spans="3:14">
      <c r="C83" s="1061" t="s">
        <v>650</v>
      </c>
      <c r="D83" s="1082"/>
      <c r="E83" s="1063" t="s">
        <v>1404</v>
      </c>
      <c r="F83" s="1064"/>
      <c r="G83" s="1063" t="s">
        <v>1406</v>
      </c>
      <c r="H83" s="1065">
        <v>-50823.41</v>
      </c>
      <c r="I83" s="1066" t="s">
        <v>293</v>
      </c>
      <c r="J83" s="1109">
        <f t="shared" si="16"/>
        <v>-50823.41</v>
      </c>
      <c r="K83" s="1036" t="str">
        <f t="shared" si="9"/>
        <v xml:space="preserve"> </v>
      </c>
      <c r="L83" s="1036" t="str">
        <f t="shared" si="10"/>
        <v xml:space="preserve"> </v>
      </c>
      <c r="M83" s="1109" t="str">
        <f t="shared" si="11"/>
        <v xml:space="preserve"> </v>
      </c>
      <c r="N83" s="1109" t="str">
        <f t="shared" si="17"/>
        <v xml:space="preserve"> </v>
      </c>
    </row>
    <row r="84" spans="3:14">
      <c r="C84" s="1061" t="s">
        <v>650</v>
      </c>
      <c r="D84" s="1082"/>
      <c r="E84" s="1063" t="s">
        <v>1405</v>
      </c>
      <c r="F84" s="1064"/>
      <c r="G84" s="1063" t="s">
        <v>1407</v>
      </c>
      <c r="H84" s="1065">
        <v>-33105.449999999997</v>
      </c>
      <c r="I84" s="1066" t="s">
        <v>293</v>
      </c>
      <c r="J84" s="1109">
        <f t="shared" si="16"/>
        <v>-33105.449999999997</v>
      </c>
      <c r="K84" s="1036" t="str">
        <f t="shared" si="9"/>
        <v xml:space="preserve"> </v>
      </c>
      <c r="L84" s="1036" t="str">
        <f t="shared" si="10"/>
        <v xml:space="preserve"> </v>
      </c>
      <c r="M84" s="1109" t="str">
        <f t="shared" si="11"/>
        <v xml:space="preserve"> </v>
      </c>
      <c r="N84" s="1109" t="str">
        <f t="shared" si="17"/>
        <v xml:space="preserve"> </v>
      </c>
    </row>
    <row r="85" spans="3:14">
      <c r="C85" s="1061" t="s">
        <v>650</v>
      </c>
      <c r="D85" s="1082" t="s">
        <v>339</v>
      </c>
      <c r="E85" s="1063" t="s">
        <v>839</v>
      </c>
      <c r="F85" s="1064"/>
      <c r="G85" s="1063" t="s">
        <v>679</v>
      </c>
      <c r="H85" s="1065">
        <v>-1766136.22</v>
      </c>
      <c r="I85" s="1066" t="s">
        <v>160</v>
      </c>
      <c r="J85" s="1109" t="str">
        <f t="shared" si="16"/>
        <v xml:space="preserve"> </v>
      </c>
      <c r="K85" s="1036" t="str">
        <f t="shared" si="9"/>
        <v xml:space="preserve"> </v>
      </c>
      <c r="L85" s="1036">
        <f t="shared" si="10"/>
        <v>-1766136.22</v>
      </c>
      <c r="M85" s="1109" t="str">
        <f t="shared" si="11"/>
        <v xml:space="preserve"> </v>
      </c>
      <c r="N85" s="1109" t="str">
        <f t="shared" si="17"/>
        <v xml:space="preserve"> </v>
      </c>
    </row>
    <row r="86" spans="3:14">
      <c r="C86" s="1061" t="s">
        <v>650</v>
      </c>
      <c r="D86" s="1082" t="s">
        <v>339</v>
      </c>
      <c r="E86" s="1063" t="s">
        <v>840</v>
      </c>
      <c r="F86" s="1064"/>
      <c r="G86" s="1063" t="s">
        <v>681</v>
      </c>
      <c r="H86" s="1065">
        <v>-6474826.79</v>
      </c>
      <c r="I86" s="1066" t="s">
        <v>302</v>
      </c>
      <c r="J86" s="1109" t="str">
        <f t="shared" si="16"/>
        <v xml:space="preserve"> </v>
      </c>
      <c r="K86" s="1036" t="str">
        <f t="shared" si="9"/>
        <v xml:space="preserve"> </v>
      </c>
      <c r="L86" s="1036" t="str">
        <f t="shared" si="10"/>
        <v xml:space="preserve"> </v>
      </c>
      <c r="M86" s="1109" t="str">
        <f t="shared" si="11"/>
        <v xml:space="preserve"> </v>
      </c>
      <c r="N86" s="1109">
        <f t="shared" si="17"/>
        <v>-6474826.79</v>
      </c>
    </row>
    <row r="87" spans="3:14">
      <c r="C87" s="1061" t="s">
        <v>650</v>
      </c>
      <c r="D87" s="1082" t="s">
        <v>339</v>
      </c>
      <c r="E87" s="1063" t="s">
        <v>841</v>
      </c>
      <c r="F87" s="1064"/>
      <c r="G87" s="1063" t="s">
        <v>682</v>
      </c>
      <c r="H87" s="1065">
        <v>5126316.6500000004</v>
      </c>
      <c r="I87" s="1066" t="s">
        <v>302</v>
      </c>
      <c r="J87" s="1109" t="str">
        <f t="shared" si="16"/>
        <v xml:space="preserve"> </v>
      </c>
      <c r="K87" s="1036" t="str">
        <f t="shared" si="9"/>
        <v xml:space="preserve"> </v>
      </c>
      <c r="L87" s="1036" t="str">
        <f t="shared" si="10"/>
        <v xml:space="preserve"> </v>
      </c>
      <c r="M87" s="1109" t="str">
        <f t="shared" si="11"/>
        <v xml:space="preserve"> </v>
      </c>
      <c r="N87" s="1109">
        <f t="shared" si="17"/>
        <v>5126316.6500000004</v>
      </c>
    </row>
    <row r="88" spans="3:14">
      <c r="C88" s="1061" t="s">
        <v>650</v>
      </c>
      <c r="D88" s="1082"/>
      <c r="E88" s="1063" t="s">
        <v>842</v>
      </c>
      <c r="F88" s="1064"/>
      <c r="G88" s="1063" t="s">
        <v>684</v>
      </c>
      <c r="H88" s="1065">
        <v>-1200291.82</v>
      </c>
      <c r="I88" s="1066" t="s">
        <v>302</v>
      </c>
      <c r="J88" s="1109" t="str">
        <f t="shared" si="16"/>
        <v xml:space="preserve"> </v>
      </c>
      <c r="K88" s="1036" t="str">
        <f t="shared" si="9"/>
        <v xml:space="preserve"> </v>
      </c>
      <c r="L88" s="1036" t="str">
        <f t="shared" si="10"/>
        <v xml:space="preserve"> </v>
      </c>
      <c r="M88" s="1109" t="str">
        <f t="shared" si="11"/>
        <v xml:space="preserve"> </v>
      </c>
      <c r="N88" s="1109">
        <f t="shared" si="17"/>
        <v>-1200291.82</v>
      </c>
    </row>
    <row r="89" spans="3:14">
      <c r="C89" s="1061" t="s">
        <v>650</v>
      </c>
      <c r="D89" s="1082" t="s">
        <v>339</v>
      </c>
      <c r="E89" s="1063" t="s">
        <v>843</v>
      </c>
      <c r="F89" s="1064"/>
      <c r="G89" s="1063" t="s">
        <v>685</v>
      </c>
      <c r="H89" s="1065">
        <v>0.04</v>
      </c>
      <c r="I89" s="1066" t="s">
        <v>293</v>
      </c>
      <c r="J89" s="1109">
        <f t="shared" si="16"/>
        <v>0.04</v>
      </c>
      <c r="K89" s="1036" t="str">
        <f t="shared" si="9"/>
        <v xml:space="preserve"> </v>
      </c>
      <c r="L89" s="1036" t="str">
        <f t="shared" si="10"/>
        <v xml:space="preserve"> </v>
      </c>
      <c r="M89" s="1109" t="str">
        <f t="shared" si="11"/>
        <v xml:space="preserve"> </v>
      </c>
      <c r="N89" s="1109" t="str">
        <f t="shared" si="17"/>
        <v xml:space="preserve"> </v>
      </c>
    </row>
    <row r="90" spans="3:14">
      <c r="C90" s="1061" t="s">
        <v>650</v>
      </c>
      <c r="D90" s="753"/>
      <c r="E90" s="1063" t="s">
        <v>1068</v>
      </c>
      <c r="F90" s="700"/>
      <c r="G90" s="1063" t="s">
        <v>1069</v>
      </c>
      <c r="H90" s="1065">
        <v>-2095625.01</v>
      </c>
      <c r="I90" s="1066" t="s">
        <v>293</v>
      </c>
      <c r="J90" s="1109">
        <f t="shared" si="16"/>
        <v>-2095625.01</v>
      </c>
      <c r="K90" s="1036" t="str">
        <f t="shared" si="9"/>
        <v xml:space="preserve"> </v>
      </c>
      <c r="L90" s="1036" t="str">
        <f t="shared" si="10"/>
        <v xml:space="preserve"> </v>
      </c>
      <c r="M90" s="1109" t="str">
        <f t="shared" si="11"/>
        <v xml:space="preserve"> </v>
      </c>
      <c r="N90" s="1109" t="str">
        <f t="shared" si="17"/>
        <v xml:space="preserve"> </v>
      </c>
    </row>
    <row r="91" spans="3:14">
      <c r="C91" s="1061"/>
      <c r="D91" s="753"/>
      <c r="E91" s="1063"/>
      <c r="F91" s="700"/>
      <c r="G91" s="1063"/>
      <c r="H91" s="1065"/>
      <c r="I91" s="1066"/>
      <c r="J91" s="1109" t="str">
        <f t="shared" si="14"/>
        <v xml:space="preserve"> </v>
      </c>
      <c r="K91" s="1036" t="str">
        <f t="shared" si="9"/>
        <v xml:space="preserve"> </v>
      </c>
      <c r="L91" s="1036" t="str">
        <f t="shared" si="10"/>
        <v xml:space="preserve"> </v>
      </c>
      <c r="M91" s="1109" t="str">
        <f t="shared" si="11"/>
        <v xml:space="preserve"> </v>
      </c>
      <c r="N91" s="1109" t="str">
        <f t="shared" si="15"/>
        <v xml:space="preserve"> </v>
      </c>
    </row>
    <row r="92" spans="3:14">
      <c r="C92" s="1083">
        <v>2831002</v>
      </c>
      <c r="D92" s="753" t="s">
        <v>339</v>
      </c>
      <c r="E92" s="1063" t="s">
        <v>844</v>
      </c>
      <c r="F92" s="700"/>
      <c r="G92" s="1063" t="s">
        <v>780</v>
      </c>
      <c r="H92" s="1065">
        <v>-172830981.13999999</v>
      </c>
      <c r="I92" s="1066" t="s">
        <v>160</v>
      </c>
      <c r="J92" s="1109" t="str">
        <f t="shared" si="14"/>
        <v xml:space="preserve"> </v>
      </c>
      <c r="K92" s="1036" t="str">
        <f t="shared" si="9"/>
        <v xml:space="preserve"> </v>
      </c>
      <c r="L92" s="1036">
        <f t="shared" si="10"/>
        <v>-172830981.13999999</v>
      </c>
      <c r="M92" s="1109" t="str">
        <f t="shared" si="11"/>
        <v xml:space="preserve"> </v>
      </c>
      <c r="N92" s="1109" t="str">
        <f t="shared" si="15"/>
        <v xml:space="preserve"> </v>
      </c>
    </row>
    <row r="93" spans="3:14">
      <c r="C93" s="1083">
        <v>2831001</v>
      </c>
      <c r="D93" s="753"/>
      <c r="E93" s="1063" t="s">
        <v>826</v>
      </c>
      <c r="F93" s="700"/>
      <c r="G93" s="1063" t="s">
        <v>1272</v>
      </c>
      <c r="H93" s="1065">
        <v>0</v>
      </c>
      <c r="I93" s="1066" t="s">
        <v>1271</v>
      </c>
      <c r="J93" s="1065">
        <f>+'PSO WS C-4 Excess FIT'!G23</f>
        <v>0</v>
      </c>
      <c r="K93" s="1065">
        <f>+'PSO WS C-4 Excess FIT'!G22</f>
        <v>0</v>
      </c>
      <c r="L93" s="1036" t="str">
        <f t="shared" si="10"/>
        <v xml:space="preserve"> </v>
      </c>
      <c r="M93" s="1109" t="str">
        <f t="shared" si="11"/>
        <v xml:space="preserve"> </v>
      </c>
      <c r="N93" s="1109" t="str">
        <f t="shared" si="15"/>
        <v xml:space="preserve"> </v>
      </c>
    </row>
    <row r="94" spans="3:14" s="1114" customFormat="1">
      <c r="C94" s="1118"/>
      <c r="D94" s="1119"/>
      <c r="E94" s="1120"/>
      <c r="F94" s="1121"/>
      <c r="G94" s="1122"/>
      <c r="H94" s="1123"/>
      <c r="I94" s="1124"/>
      <c r="J94" s="1125"/>
      <c r="K94" s="1113"/>
      <c r="L94" s="1113"/>
      <c r="M94" s="1112"/>
      <c r="N94" s="1112"/>
    </row>
    <row r="95" spans="3:14">
      <c r="C95" s="1061"/>
      <c r="D95" s="753"/>
      <c r="E95" s="1063"/>
      <c r="F95" s="700"/>
      <c r="G95" s="1063"/>
      <c r="H95" s="1065"/>
      <c r="I95" s="1066"/>
      <c r="J95" s="1109"/>
      <c r="K95" s="1036"/>
      <c r="L95" s="1036"/>
      <c r="M95" s="1109"/>
      <c r="N95" s="1109"/>
    </row>
    <row r="96" spans="3:14">
      <c r="C96" s="1061"/>
      <c r="D96" s="753"/>
      <c r="E96" s="1063"/>
      <c r="F96" s="700"/>
      <c r="G96" s="1063"/>
      <c r="H96" s="1065"/>
      <c r="I96" s="1066"/>
      <c r="J96" s="1065"/>
      <c r="K96" s="1065"/>
      <c r="L96" s="1065"/>
      <c r="M96" s="1065"/>
      <c r="N96" s="1065"/>
    </row>
    <row r="97" spans="3:15">
      <c r="C97" s="1061"/>
      <c r="D97" s="753"/>
      <c r="E97" s="1063"/>
      <c r="F97" s="700"/>
      <c r="G97" s="1063"/>
      <c r="H97" s="1065"/>
      <c r="I97" s="1066"/>
      <c r="J97" s="1109" t="str">
        <f t="shared" si="12"/>
        <v xml:space="preserve"> </v>
      </c>
      <c r="K97" s="1036" t="str">
        <f t="shared" si="9"/>
        <v xml:space="preserve"> </v>
      </c>
      <c r="L97" s="1036" t="str">
        <f t="shared" si="10"/>
        <v xml:space="preserve"> </v>
      </c>
      <c r="M97" s="1109" t="str">
        <f t="shared" si="11"/>
        <v xml:space="preserve"> </v>
      </c>
      <c r="N97" s="1109" t="str">
        <f t="shared" si="13"/>
        <v xml:space="preserve"> </v>
      </c>
    </row>
    <row r="98" spans="3:15">
      <c r="C98" s="1061"/>
      <c r="D98" s="753"/>
      <c r="E98" s="1063"/>
      <c r="F98" s="700"/>
      <c r="G98" s="1063"/>
      <c r="H98" s="1065"/>
      <c r="I98" s="1066"/>
      <c r="J98" s="1109" t="str">
        <f t="shared" si="12"/>
        <v xml:space="preserve"> </v>
      </c>
      <c r="K98" s="1036" t="str">
        <f t="shared" si="9"/>
        <v xml:space="preserve"> </v>
      </c>
      <c r="L98" s="1036" t="str">
        <f t="shared" si="10"/>
        <v xml:space="preserve"> </v>
      </c>
      <c r="M98" s="1109" t="str">
        <f t="shared" si="11"/>
        <v xml:space="preserve"> </v>
      </c>
      <c r="N98" s="1109" t="str">
        <f t="shared" si="13"/>
        <v xml:space="preserve"> </v>
      </c>
    </row>
    <row r="99" spans="3:15">
      <c r="C99" s="1092"/>
      <c r="D99" s="739"/>
      <c r="E99" s="1061"/>
      <c r="F99" s="1061"/>
      <c r="G99" s="1061"/>
      <c r="H99" s="1126"/>
      <c r="I99" s="1127"/>
      <c r="J99" s="1109" t="str">
        <f t="shared" si="12"/>
        <v xml:space="preserve"> </v>
      </c>
      <c r="K99" s="1036" t="str">
        <f t="shared" si="9"/>
        <v xml:space="preserve"> </v>
      </c>
      <c r="L99" s="1036" t="str">
        <f t="shared" si="10"/>
        <v xml:space="preserve"> </v>
      </c>
      <c r="M99" s="1109" t="str">
        <f t="shared" si="11"/>
        <v xml:space="preserve"> </v>
      </c>
      <c r="N99" s="1109" t="str">
        <f t="shared" si="13"/>
        <v xml:space="preserve"> </v>
      </c>
    </row>
    <row r="100" spans="3:15">
      <c r="D100" s="1023"/>
      <c r="H100" s="1036"/>
      <c r="I100" s="1036"/>
      <c r="J100" s="1081" t="str">
        <f>IF(I100="e",H100," ")</f>
        <v xml:space="preserve"> </v>
      </c>
      <c r="K100" s="1081"/>
      <c r="L100" s="1081" t="str">
        <f>IF($I100="PTD",$H100," ")</f>
        <v xml:space="preserve"> </v>
      </c>
      <c r="M100" s="1081" t="str">
        <f>IF($I100="T&amp;D",$H100," ")</f>
        <v xml:space="preserve"> </v>
      </c>
      <c r="N100" s="1081" t="str">
        <f>IF(I100="Labor",H100," ")</f>
        <v xml:space="preserve"> </v>
      </c>
    </row>
    <row r="101" spans="3:15">
      <c r="C101" s="1116">
        <v>283.10000000000002</v>
      </c>
      <c r="D101" s="1023"/>
      <c r="G101" s="1077" t="s">
        <v>161</v>
      </c>
      <c r="H101" s="1093">
        <f>SUM(H54:H100)</f>
        <v>-271666702.26999998</v>
      </c>
      <c r="I101" s="1036"/>
      <c r="J101" s="1078">
        <f>SUM(J54:J100)</f>
        <v>-51202045.699999996</v>
      </c>
      <c r="K101" s="1078">
        <f>SUM(K54:K100)</f>
        <v>0</v>
      </c>
      <c r="L101" s="1078">
        <f>SUM(L54:L100)</f>
        <v>-188884806.70999998</v>
      </c>
      <c r="M101" s="1078">
        <f>SUM(M54:M100)</f>
        <v>0.35</v>
      </c>
      <c r="N101" s="1078">
        <f>SUM(N54:N100)</f>
        <v>-31579850.210000001</v>
      </c>
      <c r="O101" s="1068"/>
    </row>
    <row r="102" spans="3:15" ht="25.5">
      <c r="C102" s="1094"/>
      <c r="D102" s="1023"/>
      <c r="G102" s="1079" t="s">
        <v>111</v>
      </c>
      <c r="H102" s="1117">
        <v>-271666702</v>
      </c>
      <c r="I102" s="1095"/>
      <c r="J102" s="1095"/>
      <c r="K102" s="1095"/>
      <c r="L102" s="1095"/>
      <c r="M102" s="1095"/>
      <c r="N102" s="1095"/>
    </row>
    <row r="103" spans="3:15">
      <c r="C103" s="1094"/>
      <c r="D103" s="1023"/>
      <c r="G103" s="1128"/>
      <c r="H103" s="1081"/>
      <c r="I103" s="1095"/>
      <c r="J103" s="1095"/>
      <c r="K103" s="1095"/>
      <c r="L103" s="1095"/>
      <c r="M103" s="1095"/>
      <c r="N103" s="1095"/>
    </row>
    <row r="104" spans="3:15">
      <c r="G104" s="1096"/>
      <c r="H104" s="1081"/>
      <c r="I104" s="1036"/>
      <c r="J104" s="1036"/>
      <c r="K104" s="1036"/>
      <c r="L104" s="1036"/>
      <c r="M104" s="1036"/>
      <c r="N104" s="1036"/>
    </row>
    <row r="105" spans="3:15">
      <c r="H105" s="1081"/>
      <c r="I105" s="1036"/>
      <c r="J105" s="1036"/>
      <c r="K105" s="1036"/>
      <c r="L105" s="1036"/>
      <c r="M105" s="1036"/>
      <c r="N105" s="1036"/>
    </row>
    <row r="106" spans="3:15">
      <c r="C106" s="1061" t="s">
        <v>689</v>
      </c>
      <c r="D106" s="1097" t="s">
        <v>339</v>
      </c>
      <c r="E106" s="1063" t="s">
        <v>690</v>
      </c>
      <c r="F106" s="1064"/>
      <c r="G106" s="1063" t="s">
        <v>691</v>
      </c>
      <c r="H106" s="1065">
        <v>17014</v>
      </c>
      <c r="I106" s="1066" t="s">
        <v>293</v>
      </c>
      <c r="J106" s="1109">
        <f>IF(I106="e",H106," ")</f>
        <v>17014</v>
      </c>
      <c r="K106" s="1036" t="str">
        <f>IF($I106="T",$H106," ")</f>
        <v xml:space="preserve"> </v>
      </c>
      <c r="L106" s="1036" t="str">
        <f>IF($I106="PTD",$H106," ")</f>
        <v xml:space="preserve"> </v>
      </c>
      <c r="M106" s="1109" t="str">
        <f>IF($I106="T&amp;D",$H106," ")</f>
        <v xml:space="preserve"> </v>
      </c>
      <c r="N106" s="1109" t="str">
        <f>IF(I106="Labor",H106," ")</f>
        <v xml:space="preserve"> </v>
      </c>
    </row>
    <row r="107" spans="3:15">
      <c r="C107" s="1061" t="s">
        <v>689</v>
      </c>
      <c r="D107" s="1097" t="s">
        <v>339</v>
      </c>
      <c r="E107" s="1063" t="s">
        <v>845</v>
      </c>
      <c r="F107" s="1064"/>
      <c r="G107" s="1063" t="s">
        <v>692</v>
      </c>
      <c r="H107" s="1065">
        <v>659755</v>
      </c>
      <c r="I107" s="1066" t="s">
        <v>293</v>
      </c>
      <c r="J107" s="1109">
        <f t="shared" ref="J107:J162" si="18">IF(I107="e",H107," ")</f>
        <v>659755</v>
      </c>
      <c r="K107" s="1036" t="str">
        <f t="shared" ref="K107:K162" si="19">IF($I107="T",$H107," ")</f>
        <v xml:space="preserve"> </v>
      </c>
      <c r="L107" s="1036" t="str">
        <f t="shared" ref="L107:L162" si="20">IF($I107="PTD",$H107," ")</f>
        <v xml:space="preserve"> </v>
      </c>
      <c r="M107" s="1109" t="str">
        <f t="shared" ref="M107:M162" si="21">IF($I107="T&amp;D",$H107," ")</f>
        <v xml:space="preserve"> </v>
      </c>
      <c r="N107" s="1109" t="str">
        <f t="shared" ref="N107:N162" si="22">IF(I107="Labor",H107," ")</f>
        <v xml:space="preserve"> </v>
      </c>
    </row>
    <row r="108" spans="3:15">
      <c r="C108" s="1061" t="s">
        <v>689</v>
      </c>
      <c r="D108" s="1097" t="s">
        <v>339</v>
      </c>
      <c r="E108" s="1063" t="s">
        <v>1040</v>
      </c>
      <c r="F108" s="1064"/>
      <c r="G108" s="1063" t="s">
        <v>1070</v>
      </c>
      <c r="H108" s="1065">
        <v>6761451.0599999996</v>
      </c>
      <c r="I108" s="1066" t="s">
        <v>293</v>
      </c>
      <c r="J108" s="1109">
        <f t="shared" si="18"/>
        <v>6761451.0599999996</v>
      </c>
      <c r="K108" s="1036" t="str">
        <f t="shared" si="19"/>
        <v xml:space="preserve"> </v>
      </c>
      <c r="L108" s="1036" t="str">
        <f t="shared" si="20"/>
        <v xml:space="preserve"> </v>
      </c>
      <c r="M108" s="1109" t="str">
        <f t="shared" si="21"/>
        <v xml:space="preserve"> </v>
      </c>
      <c r="N108" s="1109" t="str">
        <f t="shared" si="22"/>
        <v xml:space="preserve"> </v>
      </c>
    </row>
    <row r="109" spans="3:15">
      <c r="C109" s="1061" t="s">
        <v>689</v>
      </c>
      <c r="D109" s="1097" t="s">
        <v>339</v>
      </c>
      <c r="E109" s="1063" t="s">
        <v>1071</v>
      </c>
      <c r="F109" s="1064"/>
      <c r="G109" s="1063" t="s">
        <v>1072</v>
      </c>
      <c r="H109" s="1065">
        <v>-12834425.310000001</v>
      </c>
      <c r="I109" s="1066" t="s">
        <v>293</v>
      </c>
      <c r="J109" s="1109">
        <f t="shared" si="18"/>
        <v>-12834425.310000001</v>
      </c>
      <c r="K109" s="1036" t="str">
        <f t="shared" si="19"/>
        <v xml:space="preserve"> </v>
      </c>
      <c r="L109" s="1036" t="str">
        <f t="shared" si="20"/>
        <v xml:space="preserve"> </v>
      </c>
      <c r="M109" s="1109" t="str">
        <f t="shared" si="21"/>
        <v xml:space="preserve"> </v>
      </c>
      <c r="N109" s="1109" t="str">
        <f t="shared" si="22"/>
        <v xml:space="preserve"> </v>
      </c>
    </row>
    <row r="110" spans="3:15">
      <c r="C110" s="1061" t="s">
        <v>689</v>
      </c>
      <c r="D110" s="1097" t="s">
        <v>339</v>
      </c>
      <c r="E110" s="1063" t="s">
        <v>701</v>
      </c>
      <c r="F110" s="1064"/>
      <c r="G110" s="1063" t="s">
        <v>702</v>
      </c>
      <c r="H110" s="1065">
        <v>6148386.0300000003</v>
      </c>
      <c r="I110" s="1066" t="s">
        <v>293</v>
      </c>
      <c r="J110" s="1109">
        <f t="shared" si="18"/>
        <v>6148386.0300000003</v>
      </c>
      <c r="K110" s="1036" t="str">
        <f t="shared" si="19"/>
        <v xml:space="preserve"> </v>
      </c>
      <c r="L110" s="1036" t="str">
        <f t="shared" si="20"/>
        <v xml:space="preserve"> </v>
      </c>
      <c r="M110" s="1109" t="str">
        <f t="shared" si="21"/>
        <v xml:space="preserve"> </v>
      </c>
      <c r="N110" s="1109" t="str">
        <f t="shared" si="22"/>
        <v xml:space="preserve"> </v>
      </c>
    </row>
    <row r="111" spans="3:15">
      <c r="C111" s="1061" t="s">
        <v>689</v>
      </c>
      <c r="D111" s="1097" t="s">
        <v>339</v>
      </c>
      <c r="E111" s="1063" t="s">
        <v>703</v>
      </c>
      <c r="F111" s="1064"/>
      <c r="G111" s="1063" t="s">
        <v>704</v>
      </c>
      <c r="H111" s="1065">
        <v>1432087.69</v>
      </c>
      <c r="I111" s="1066" t="s">
        <v>160</v>
      </c>
      <c r="J111" s="1109" t="str">
        <f t="shared" si="18"/>
        <v xml:space="preserve"> </v>
      </c>
      <c r="K111" s="1036" t="str">
        <f t="shared" si="19"/>
        <v xml:space="preserve"> </v>
      </c>
      <c r="L111" s="1036">
        <f t="shared" si="20"/>
        <v>1432087.69</v>
      </c>
      <c r="M111" s="1109" t="str">
        <f t="shared" si="21"/>
        <v xml:space="preserve"> </v>
      </c>
      <c r="N111" s="1109" t="str">
        <f t="shared" si="22"/>
        <v xml:space="preserve"> </v>
      </c>
    </row>
    <row r="112" spans="3:15">
      <c r="C112" s="1061" t="s">
        <v>689</v>
      </c>
      <c r="D112" s="1097" t="s">
        <v>339</v>
      </c>
      <c r="E112" s="1063" t="s">
        <v>705</v>
      </c>
      <c r="F112" s="1064"/>
      <c r="G112" s="1063" t="s">
        <v>706</v>
      </c>
      <c r="H112" s="1065">
        <v>-52687.25</v>
      </c>
      <c r="I112" s="1066" t="s">
        <v>293</v>
      </c>
      <c r="J112" s="1109">
        <f t="shared" si="18"/>
        <v>-52687.25</v>
      </c>
      <c r="K112" s="1036" t="str">
        <f t="shared" si="19"/>
        <v xml:space="preserve"> </v>
      </c>
      <c r="L112" s="1036" t="str">
        <f t="shared" si="20"/>
        <v xml:space="preserve"> </v>
      </c>
      <c r="M112" s="1109" t="str">
        <f t="shared" si="21"/>
        <v xml:space="preserve"> </v>
      </c>
      <c r="N112" s="1109" t="str">
        <f t="shared" si="22"/>
        <v xml:space="preserve"> </v>
      </c>
    </row>
    <row r="113" spans="3:14">
      <c r="C113" s="1061" t="s">
        <v>689</v>
      </c>
      <c r="D113" s="1097" t="s">
        <v>339</v>
      </c>
      <c r="E113" s="1063" t="s">
        <v>707</v>
      </c>
      <c r="F113" s="1064"/>
      <c r="G113" s="1063" t="s">
        <v>708</v>
      </c>
      <c r="H113" s="1065">
        <v>337091.55</v>
      </c>
      <c r="I113" s="1066" t="s">
        <v>302</v>
      </c>
      <c r="J113" s="1109" t="str">
        <f t="shared" si="18"/>
        <v xml:space="preserve"> </v>
      </c>
      <c r="K113" s="1036" t="str">
        <f t="shared" si="19"/>
        <v xml:space="preserve"> </v>
      </c>
      <c r="L113" s="1036" t="str">
        <f t="shared" si="20"/>
        <v xml:space="preserve"> </v>
      </c>
      <c r="M113" s="1109" t="str">
        <f t="shared" si="21"/>
        <v xml:space="preserve"> </v>
      </c>
      <c r="N113" s="1109">
        <f t="shared" si="22"/>
        <v>337091.55</v>
      </c>
    </row>
    <row r="114" spans="3:14">
      <c r="C114" s="1061" t="s">
        <v>689</v>
      </c>
      <c r="D114" s="1097" t="s">
        <v>339</v>
      </c>
      <c r="E114" s="1063" t="s">
        <v>709</v>
      </c>
      <c r="F114" s="1064"/>
      <c r="G114" s="1063" t="s">
        <v>710</v>
      </c>
      <c r="H114" s="1065">
        <v>529271.06000000006</v>
      </c>
      <c r="I114" s="1066" t="s">
        <v>302</v>
      </c>
      <c r="J114" s="1109" t="str">
        <f t="shared" si="18"/>
        <v xml:space="preserve"> </v>
      </c>
      <c r="K114" s="1036" t="str">
        <f t="shared" si="19"/>
        <v xml:space="preserve"> </v>
      </c>
      <c r="L114" s="1036" t="str">
        <f t="shared" si="20"/>
        <v xml:space="preserve"> </v>
      </c>
      <c r="M114" s="1109" t="str">
        <f t="shared" si="21"/>
        <v xml:space="preserve"> </v>
      </c>
      <c r="N114" s="1109">
        <f t="shared" si="22"/>
        <v>529271.06000000006</v>
      </c>
    </row>
    <row r="115" spans="3:14">
      <c r="C115" s="1061" t="s">
        <v>689</v>
      </c>
      <c r="D115" s="1097" t="s">
        <v>339</v>
      </c>
      <c r="E115" s="1063" t="s">
        <v>711</v>
      </c>
      <c r="F115" s="1064"/>
      <c r="G115" s="1063" t="s">
        <v>712</v>
      </c>
      <c r="H115" s="1065">
        <v>422412.9</v>
      </c>
      <c r="I115" s="1066" t="s">
        <v>293</v>
      </c>
      <c r="J115" s="1109">
        <f t="shared" si="18"/>
        <v>422412.9</v>
      </c>
      <c r="K115" s="1036" t="str">
        <f t="shared" si="19"/>
        <v xml:space="preserve"> </v>
      </c>
      <c r="L115" s="1036" t="str">
        <f t="shared" si="20"/>
        <v xml:space="preserve"> </v>
      </c>
      <c r="M115" s="1109" t="str">
        <f t="shared" si="21"/>
        <v xml:space="preserve"> </v>
      </c>
      <c r="N115" s="1109" t="str">
        <f t="shared" si="22"/>
        <v xml:space="preserve"> </v>
      </c>
    </row>
    <row r="116" spans="3:14">
      <c r="C116" s="1061" t="s">
        <v>689</v>
      </c>
      <c r="D116" s="1097" t="s">
        <v>339</v>
      </c>
      <c r="E116" s="1063" t="s">
        <v>713</v>
      </c>
      <c r="F116" s="1064"/>
      <c r="G116" s="1063" t="s">
        <v>714</v>
      </c>
      <c r="H116" s="1065">
        <v>560166.91</v>
      </c>
      <c r="I116" s="1066" t="s">
        <v>302</v>
      </c>
      <c r="J116" s="1109" t="str">
        <f t="shared" si="18"/>
        <v xml:space="preserve"> </v>
      </c>
      <c r="K116" s="1036" t="str">
        <f t="shared" si="19"/>
        <v xml:space="preserve"> </v>
      </c>
      <c r="L116" s="1036" t="str">
        <f t="shared" si="20"/>
        <v xml:space="preserve"> </v>
      </c>
      <c r="M116" s="1109" t="str">
        <f t="shared" si="21"/>
        <v xml:space="preserve"> </v>
      </c>
      <c r="N116" s="1109">
        <f t="shared" si="22"/>
        <v>560166.91</v>
      </c>
    </row>
    <row r="117" spans="3:14">
      <c r="C117" s="1061" t="s">
        <v>689</v>
      </c>
      <c r="D117" s="1097" t="s">
        <v>339</v>
      </c>
      <c r="E117" s="1063" t="s">
        <v>715</v>
      </c>
      <c r="F117" s="1064"/>
      <c r="G117" s="1063" t="s">
        <v>716</v>
      </c>
      <c r="H117" s="1065">
        <v>0.14000000000000001</v>
      </c>
      <c r="I117" s="1066" t="s">
        <v>293</v>
      </c>
      <c r="J117" s="1109">
        <f t="shared" si="18"/>
        <v>0.14000000000000001</v>
      </c>
      <c r="K117" s="1036" t="str">
        <f t="shared" si="19"/>
        <v xml:space="preserve"> </v>
      </c>
      <c r="L117" s="1036" t="str">
        <f t="shared" si="20"/>
        <v xml:space="preserve"> </v>
      </c>
      <c r="M117" s="1109" t="str">
        <f t="shared" si="21"/>
        <v xml:space="preserve"> </v>
      </c>
      <c r="N117" s="1109" t="str">
        <f t="shared" si="22"/>
        <v xml:space="preserve"> </v>
      </c>
    </row>
    <row r="118" spans="3:14">
      <c r="C118" s="1061" t="s">
        <v>689</v>
      </c>
      <c r="D118" s="1097" t="s">
        <v>339</v>
      </c>
      <c r="E118" s="1063" t="s">
        <v>719</v>
      </c>
      <c r="F118" s="1064"/>
      <c r="G118" s="1063" t="s">
        <v>720</v>
      </c>
      <c r="H118" s="1065">
        <v>720692.87</v>
      </c>
      <c r="I118" s="1066" t="s">
        <v>302</v>
      </c>
      <c r="J118" s="1109" t="str">
        <f t="shared" si="18"/>
        <v xml:space="preserve"> </v>
      </c>
      <c r="K118" s="1036" t="str">
        <f t="shared" si="19"/>
        <v xml:space="preserve"> </v>
      </c>
      <c r="L118" s="1036" t="str">
        <f t="shared" si="20"/>
        <v xml:space="preserve"> </v>
      </c>
      <c r="M118" s="1109" t="str">
        <f t="shared" si="21"/>
        <v xml:space="preserve"> </v>
      </c>
      <c r="N118" s="1109">
        <f t="shared" si="22"/>
        <v>720692.87</v>
      </c>
    </row>
    <row r="119" spans="3:14">
      <c r="C119" s="1061" t="s">
        <v>689</v>
      </c>
      <c r="D119" s="1097"/>
      <c r="E119" s="1063" t="s">
        <v>1410</v>
      </c>
      <c r="F119" s="1064"/>
      <c r="G119" s="1063" t="s">
        <v>1411</v>
      </c>
      <c r="H119" s="1065">
        <v>657650.18999999994</v>
      </c>
      <c r="I119" s="1066" t="s">
        <v>293</v>
      </c>
      <c r="J119" s="1109">
        <f t="shared" ref="J119:J132" si="23">IF(I119="e",H119," ")</f>
        <v>657650.18999999994</v>
      </c>
      <c r="K119" s="1036" t="str">
        <f t="shared" si="19"/>
        <v xml:space="preserve"> </v>
      </c>
      <c r="L119" s="1036" t="str">
        <f t="shared" si="20"/>
        <v xml:space="preserve"> </v>
      </c>
      <c r="M119" s="1109" t="str">
        <f t="shared" si="21"/>
        <v xml:space="preserve"> </v>
      </c>
      <c r="N119" s="1109" t="str">
        <f t="shared" ref="N119:N132" si="24">IF(I119="Labor",H119," ")</f>
        <v xml:space="preserve"> </v>
      </c>
    </row>
    <row r="120" spans="3:14">
      <c r="C120" s="1061" t="s">
        <v>689</v>
      </c>
      <c r="D120" s="1097" t="s">
        <v>339</v>
      </c>
      <c r="E120" s="1063" t="s">
        <v>721</v>
      </c>
      <c r="F120" s="1064"/>
      <c r="G120" s="1063" t="s">
        <v>722</v>
      </c>
      <c r="H120" s="1065">
        <v>30047.61</v>
      </c>
      <c r="I120" s="1066" t="s">
        <v>293</v>
      </c>
      <c r="J120" s="1109">
        <f t="shared" si="23"/>
        <v>30047.61</v>
      </c>
      <c r="K120" s="1036" t="str">
        <f t="shared" si="19"/>
        <v xml:space="preserve"> </v>
      </c>
      <c r="L120" s="1036" t="str">
        <f t="shared" si="20"/>
        <v xml:space="preserve"> </v>
      </c>
      <c r="M120" s="1109" t="str">
        <f t="shared" si="21"/>
        <v xml:space="preserve"> </v>
      </c>
      <c r="N120" s="1109" t="str">
        <f t="shared" si="24"/>
        <v xml:space="preserve"> </v>
      </c>
    </row>
    <row r="121" spans="3:14">
      <c r="C121" s="1061" t="s">
        <v>689</v>
      </c>
      <c r="D121" s="1097" t="s">
        <v>339</v>
      </c>
      <c r="E121" s="1063" t="s">
        <v>723</v>
      </c>
      <c r="F121" s="1064"/>
      <c r="G121" s="1063" t="s">
        <v>724</v>
      </c>
      <c r="H121" s="1065">
        <v>0</v>
      </c>
      <c r="I121" s="1066" t="s">
        <v>293</v>
      </c>
      <c r="J121" s="1109">
        <f t="shared" si="23"/>
        <v>0</v>
      </c>
      <c r="K121" s="1036" t="str">
        <f t="shared" si="19"/>
        <v xml:space="preserve"> </v>
      </c>
      <c r="L121" s="1036" t="str">
        <f t="shared" si="20"/>
        <v xml:space="preserve"> </v>
      </c>
      <c r="M121" s="1109" t="str">
        <f t="shared" si="21"/>
        <v xml:space="preserve"> </v>
      </c>
      <c r="N121" s="1109" t="str">
        <f t="shared" si="24"/>
        <v xml:space="preserve"> </v>
      </c>
    </row>
    <row r="122" spans="3:14">
      <c r="C122" s="1061" t="s">
        <v>689</v>
      </c>
      <c r="D122" s="1097" t="s">
        <v>339</v>
      </c>
      <c r="E122" s="1063" t="s">
        <v>731</v>
      </c>
      <c r="F122" s="1064"/>
      <c r="G122" s="1063" t="s">
        <v>732</v>
      </c>
      <c r="H122" s="1065">
        <v>2174653.7599999998</v>
      </c>
      <c r="I122" s="1066" t="s">
        <v>302</v>
      </c>
      <c r="J122" s="1109" t="str">
        <f t="shared" si="23"/>
        <v xml:space="preserve"> </v>
      </c>
      <c r="K122" s="1036" t="str">
        <f t="shared" si="19"/>
        <v xml:space="preserve"> </v>
      </c>
      <c r="L122" s="1036" t="str">
        <f t="shared" si="20"/>
        <v xml:space="preserve"> </v>
      </c>
      <c r="M122" s="1109" t="str">
        <f t="shared" si="21"/>
        <v xml:space="preserve"> </v>
      </c>
      <c r="N122" s="1109">
        <f t="shared" si="24"/>
        <v>2174653.7599999998</v>
      </c>
    </row>
    <row r="123" spans="3:14">
      <c r="C123" s="1061" t="s">
        <v>689</v>
      </c>
      <c r="D123" s="1097" t="s">
        <v>339</v>
      </c>
      <c r="E123" s="1063" t="s">
        <v>735</v>
      </c>
      <c r="F123" s="1064"/>
      <c r="G123" s="1063" t="s">
        <v>736</v>
      </c>
      <c r="H123" s="1065">
        <v>2528078.65</v>
      </c>
      <c r="I123" s="1066" t="s">
        <v>302</v>
      </c>
      <c r="J123" s="1109" t="str">
        <f t="shared" si="23"/>
        <v xml:space="preserve"> </v>
      </c>
      <c r="K123" s="1036" t="str">
        <f t="shared" si="19"/>
        <v xml:space="preserve"> </v>
      </c>
      <c r="L123" s="1036" t="str">
        <f t="shared" si="20"/>
        <v xml:space="preserve"> </v>
      </c>
      <c r="M123" s="1109" t="str">
        <f t="shared" si="21"/>
        <v xml:space="preserve"> </v>
      </c>
      <c r="N123" s="1109">
        <f t="shared" si="24"/>
        <v>2528078.65</v>
      </c>
    </row>
    <row r="124" spans="3:14">
      <c r="C124" s="1061" t="s">
        <v>689</v>
      </c>
      <c r="D124" s="1097" t="s">
        <v>339</v>
      </c>
      <c r="E124" s="1063" t="s">
        <v>739</v>
      </c>
      <c r="F124" s="1064"/>
      <c r="G124" s="1063" t="s">
        <v>740</v>
      </c>
      <c r="H124" s="1065">
        <v>818255.33</v>
      </c>
      <c r="I124" s="1066" t="s">
        <v>302</v>
      </c>
      <c r="J124" s="1109" t="str">
        <f t="shared" si="23"/>
        <v xml:space="preserve"> </v>
      </c>
      <c r="K124" s="1036" t="str">
        <f t="shared" si="19"/>
        <v xml:space="preserve"> </v>
      </c>
      <c r="L124" s="1036" t="str">
        <f t="shared" si="20"/>
        <v xml:space="preserve"> </v>
      </c>
      <c r="M124" s="1109" t="str">
        <f t="shared" si="21"/>
        <v xml:space="preserve"> </v>
      </c>
      <c r="N124" s="1109">
        <f t="shared" si="24"/>
        <v>818255.33</v>
      </c>
    </row>
    <row r="125" spans="3:14">
      <c r="C125" s="1061" t="s">
        <v>689</v>
      </c>
      <c r="D125" s="1097" t="s">
        <v>339</v>
      </c>
      <c r="E125" s="1063" t="s">
        <v>1073</v>
      </c>
      <c r="F125" s="1064"/>
      <c r="G125" s="1063" t="s">
        <v>1074</v>
      </c>
      <c r="H125" s="1065">
        <v>0.36</v>
      </c>
      <c r="I125" s="1066" t="s">
        <v>302</v>
      </c>
      <c r="J125" s="1109" t="str">
        <f t="shared" si="23"/>
        <v xml:space="preserve"> </v>
      </c>
      <c r="K125" s="1036" t="str">
        <f t="shared" si="19"/>
        <v xml:space="preserve"> </v>
      </c>
      <c r="L125" s="1036" t="str">
        <f t="shared" si="20"/>
        <v xml:space="preserve"> </v>
      </c>
      <c r="M125" s="1109" t="str">
        <f t="shared" si="21"/>
        <v xml:space="preserve"> </v>
      </c>
      <c r="N125" s="1109">
        <f t="shared" si="24"/>
        <v>0.36</v>
      </c>
    </row>
    <row r="126" spans="3:14">
      <c r="C126" s="1061" t="s">
        <v>689</v>
      </c>
      <c r="D126" s="1097" t="s">
        <v>339</v>
      </c>
      <c r="E126" s="1063" t="s">
        <v>745</v>
      </c>
      <c r="F126" s="1064"/>
      <c r="G126" s="1063" t="s">
        <v>746</v>
      </c>
      <c r="H126" s="1065">
        <v>-1167271.75</v>
      </c>
      <c r="I126" s="1066" t="s">
        <v>293</v>
      </c>
      <c r="J126" s="1109">
        <f t="shared" si="23"/>
        <v>-1167271.75</v>
      </c>
      <c r="K126" s="1036" t="str">
        <f t="shared" si="19"/>
        <v xml:space="preserve"> </v>
      </c>
      <c r="L126" s="1036" t="str">
        <f t="shared" si="20"/>
        <v xml:space="preserve"> </v>
      </c>
      <c r="M126" s="1109" t="str">
        <f t="shared" si="21"/>
        <v xml:space="preserve"> </v>
      </c>
      <c r="N126" s="1109" t="str">
        <f t="shared" si="24"/>
        <v xml:space="preserve"> </v>
      </c>
    </row>
    <row r="127" spans="3:14">
      <c r="C127" s="1061" t="s">
        <v>689</v>
      </c>
      <c r="D127" s="1097" t="s">
        <v>339</v>
      </c>
      <c r="E127" s="1063" t="s">
        <v>846</v>
      </c>
      <c r="F127" s="1064"/>
      <c r="G127" s="1063" t="s">
        <v>747</v>
      </c>
      <c r="H127" s="1065">
        <v>1009033</v>
      </c>
      <c r="I127" s="1066" t="s">
        <v>293</v>
      </c>
      <c r="J127" s="1109">
        <f t="shared" si="23"/>
        <v>1009033</v>
      </c>
      <c r="K127" s="1036" t="str">
        <f t="shared" si="19"/>
        <v xml:space="preserve"> </v>
      </c>
      <c r="L127" s="1036" t="str">
        <f t="shared" si="20"/>
        <v xml:space="preserve"> </v>
      </c>
      <c r="M127" s="1109" t="str">
        <f t="shared" si="21"/>
        <v xml:space="preserve"> </v>
      </c>
      <c r="N127" s="1109" t="str">
        <f t="shared" si="24"/>
        <v xml:space="preserve"> </v>
      </c>
    </row>
    <row r="128" spans="3:14">
      <c r="C128" s="1061" t="s">
        <v>689</v>
      </c>
      <c r="D128" s="1097" t="s">
        <v>339</v>
      </c>
      <c r="E128" s="1063" t="s">
        <v>748</v>
      </c>
      <c r="F128" s="1064"/>
      <c r="G128" s="1063" t="s">
        <v>749</v>
      </c>
      <c r="H128" s="1065">
        <v>-36324.400000000001</v>
      </c>
      <c r="I128" s="1066" t="s">
        <v>293</v>
      </c>
      <c r="J128" s="1109">
        <f t="shared" si="23"/>
        <v>-36324.400000000001</v>
      </c>
      <c r="K128" s="1036" t="str">
        <f t="shared" si="19"/>
        <v xml:space="preserve"> </v>
      </c>
      <c r="L128" s="1036" t="str">
        <f t="shared" si="20"/>
        <v xml:space="preserve"> </v>
      </c>
      <c r="M128" s="1109" t="str">
        <f t="shared" si="21"/>
        <v xml:space="preserve"> </v>
      </c>
      <c r="N128" s="1109" t="str">
        <f t="shared" si="24"/>
        <v xml:space="preserve"> </v>
      </c>
    </row>
    <row r="129" spans="3:14">
      <c r="C129" s="1061" t="s">
        <v>689</v>
      </c>
      <c r="D129" s="1097" t="s">
        <v>339</v>
      </c>
      <c r="E129" s="1063" t="s">
        <v>1013</v>
      </c>
      <c r="F129" s="1064"/>
      <c r="G129" s="1063" t="s">
        <v>751</v>
      </c>
      <c r="H129" s="1065">
        <v>-206579.8</v>
      </c>
      <c r="I129" s="1066" t="s">
        <v>293</v>
      </c>
      <c r="J129" s="1109">
        <f t="shared" si="23"/>
        <v>-206579.8</v>
      </c>
      <c r="K129" s="1036" t="str">
        <f t="shared" si="19"/>
        <v xml:space="preserve"> </v>
      </c>
      <c r="L129" s="1036" t="str">
        <f t="shared" si="20"/>
        <v xml:space="preserve"> </v>
      </c>
      <c r="M129" s="1109" t="str">
        <f t="shared" si="21"/>
        <v xml:space="preserve"> </v>
      </c>
      <c r="N129" s="1109" t="str">
        <f t="shared" si="24"/>
        <v xml:space="preserve"> </v>
      </c>
    </row>
    <row r="130" spans="3:14">
      <c r="C130" s="1061" t="s">
        <v>689</v>
      </c>
      <c r="D130" s="1097" t="s">
        <v>339</v>
      </c>
      <c r="E130" s="1063" t="s">
        <v>752</v>
      </c>
      <c r="F130" s="1064"/>
      <c r="G130" s="1063" t="s">
        <v>753</v>
      </c>
      <c r="H130" s="1065">
        <v>0</v>
      </c>
      <c r="I130" s="1066" t="s">
        <v>293</v>
      </c>
      <c r="J130" s="1109">
        <f t="shared" si="23"/>
        <v>0</v>
      </c>
      <c r="K130" s="1036" t="str">
        <f t="shared" si="19"/>
        <v xml:space="preserve"> </v>
      </c>
      <c r="L130" s="1036" t="str">
        <f t="shared" si="20"/>
        <v xml:space="preserve"> </v>
      </c>
      <c r="M130" s="1109" t="str">
        <f t="shared" si="21"/>
        <v xml:space="preserve"> </v>
      </c>
      <c r="N130" s="1109" t="str">
        <f t="shared" si="24"/>
        <v xml:space="preserve"> </v>
      </c>
    </row>
    <row r="131" spans="3:14">
      <c r="C131" s="1061" t="s">
        <v>689</v>
      </c>
      <c r="D131" s="1097" t="s">
        <v>339</v>
      </c>
      <c r="E131" s="1063" t="s">
        <v>754</v>
      </c>
      <c r="F131" s="1064"/>
      <c r="G131" s="1063" t="s">
        <v>755</v>
      </c>
      <c r="H131" s="1065">
        <v>0</v>
      </c>
      <c r="I131" s="1066" t="s">
        <v>293</v>
      </c>
      <c r="J131" s="1109">
        <f t="shared" si="23"/>
        <v>0</v>
      </c>
      <c r="K131" s="1036" t="str">
        <f t="shared" si="19"/>
        <v xml:space="preserve"> </v>
      </c>
      <c r="L131" s="1036" t="str">
        <f t="shared" si="20"/>
        <v xml:space="preserve"> </v>
      </c>
      <c r="M131" s="1109" t="str">
        <f t="shared" si="21"/>
        <v xml:space="preserve"> </v>
      </c>
      <c r="N131" s="1109" t="str">
        <f t="shared" si="24"/>
        <v xml:space="preserve"> </v>
      </c>
    </row>
    <row r="132" spans="3:14">
      <c r="C132" s="1061" t="s">
        <v>689</v>
      </c>
      <c r="D132" s="1097" t="s">
        <v>339</v>
      </c>
      <c r="E132" s="1063" t="s">
        <v>756</v>
      </c>
      <c r="F132" s="1064"/>
      <c r="G132" s="1063" t="s">
        <v>757</v>
      </c>
      <c r="H132" s="1065">
        <v>285510.87</v>
      </c>
      <c r="I132" s="1066" t="s">
        <v>160</v>
      </c>
      <c r="J132" s="1109" t="str">
        <f t="shared" si="23"/>
        <v xml:space="preserve"> </v>
      </c>
      <c r="K132" s="1036" t="str">
        <f t="shared" si="19"/>
        <v xml:space="preserve"> </v>
      </c>
      <c r="L132" s="1036">
        <f t="shared" si="20"/>
        <v>285510.87</v>
      </c>
      <c r="M132" s="1109" t="str">
        <f t="shared" si="21"/>
        <v xml:space="preserve"> </v>
      </c>
      <c r="N132" s="1109" t="str">
        <f t="shared" si="24"/>
        <v xml:space="preserve"> </v>
      </c>
    </row>
    <row r="133" spans="3:14">
      <c r="C133" s="1061" t="s">
        <v>689</v>
      </c>
      <c r="D133" s="1097"/>
      <c r="E133" s="1063" t="s">
        <v>1412</v>
      </c>
      <c r="F133" s="1064"/>
      <c r="G133" s="1063" t="s">
        <v>1414</v>
      </c>
      <c r="H133" s="1065">
        <v>33757.5</v>
      </c>
      <c r="I133" s="1066" t="s">
        <v>293</v>
      </c>
      <c r="J133" s="1109">
        <f t="shared" ref="J133:J154" si="25">IF(I133="e",H133," ")</f>
        <v>33757.5</v>
      </c>
      <c r="K133" s="1036" t="str">
        <f t="shared" si="19"/>
        <v xml:space="preserve"> </v>
      </c>
      <c r="L133" s="1036" t="str">
        <f t="shared" si="20"/>
        <v xml:space="preserve"> </v>
      </c>
      <c r="M133" s="1109" t="str">
        <f t="shared" si="21"/>
        <v xml:space="preserve"> </v>
      </c>
      <c r="N133" s="1109" t="str">
        <f t="shared" ref="N133:N154" si="26">IF(I133="Labor",H133," ")</f>
        <v xml:space="preserve"> </v>
      </c>
    </row>
    <row r="134" spans="3:14">
      <c r="C134" s="1061" t="s">
        <v>689</v>
      </c>
      <c r="D134" s="1097"/>
      <c r="E134" s="1063" t="s">
        <v>1413</v>
      </c>
      <c r="F134" s="1064"/>
      <c r="G134" s="1063" t="s">
        <v>1415</v>
      </c>
      <c r="H134" s="1065">
        <v>113273.13</v>
      </c>
      <c r="I134" s="1066" t="s">
        <v>293</v>
      </c>
      <c r="J134" s="1109">
        <f t="shared" si="25"/>
        <v>113273.13</v>
      </c>
      <c r="K134" s="1036" t="str">
        <f t="shared" si="19"/>
        <v xml:space="preserve"> </v>
      </c>
      <c r="L134" s="1036" t="str">
        <f t="shared" si="20"/>
        <v xml:space="preserve"> </v>
      </c>
      <c r="M134" s="1109" t="str">
        <f t="shared" si="21"/>
        <v xml:space="preserve"> </v>
      </c>
      <c r="N134" s="1109" t="str">
        <f t="shared" si="26"/>
        <v xml:space="preserve"> </v>
      </c>
    </row>
    <row r="135" spans="3:14">
      <c r="C135" s="1061" t="s">
        <v>689</v>
      </c>
      <c r="D135" s="1097" t="s">
        <v>339</v>
      </c>
      <c r="E135" s="1063" t="s">
        <v>764</v>
      </c>
      <c r="F135" s="1064"/>
      <c r="G135" s="1063" t="s">
        <v>765</v>
      </c>
      <c r="H135" s="1065">
        <v>242126.97</v>
      </c>
      <c r="I135" s="1066" t="s">
        <v>293</v>
      </c>
      <c r="J135" s="1109">
        <f t="shared" si="25"/>
        <v>242126.97</v>
      </c>
      <c r="K135" s="1036" t="str">
        <f t="shared" si="19"/>
        <v xml:space="preserve"> </v>
      </c>
      <c r="L135" s="1036" t="str">
        <f t="shared" si="20"/>
        <v xml:space="preserve"> </v>
      </c>
      <c r="M135" s="1109" t="str">
        <f t="shared" si="21"/>
        <v xml:space="preserve"> </v>
      </c>
      <c r="N135" s="1109" t="str">
        <f t="shared" si="26"/>
        <v xml:space="preserve"> </v>
      </c>
    </row>
    <row r="136" spans="3:14">
      <c r="C136" s="1061" t="s">
        <v>689</v>
      </c>
      <c r="D136" s="1097" t="s">
        <v>339</v>
      </c>
      <c r="E136" s="1063" t="s">
        <v>1075</v>
      </c>
      <c r="F136" s="1064"/>
      <c r="G136" s="1063" t="s">
        <v>1076</v>
      </c>
      <c r="H136" s="1065">
        <v>0.17</v>
      </c>
      <c r="I136" s="1066" t="s">
        <v>293</v>
      </c>
      <c r="J136" s="1109">
        <f t="shared" si="25"/>
        <v>0.17</v>
      </c>
      <c r="K136" s="1036" t="str">
        <f t="shared" si="19"/>
        <v xml:space="preserve"> </v>
      </c>
      <c r="L136" s="1036" t="str">
        <f t="shared" si="20"/>
        <v xml:space="preserve"> </v>
      </c>
      <c r="M136" s="1109" t="str">
        <f t="shared" si="21"/>
        <v xml:space="preserve"> </v>
      </c>
      <c r="N136" s="1109" t="str">
        <f t="shared" si="26"/>
        <v xml:space="preserve"> </v>
      </c>
    </row>
    <row r="137" spans="3:14">
      <c r="C137" s="1061" t="s">
        <v>689</v>
      </c>
      <c r="D137" s="1097" t="s">
        <v>339</v>
      </c>
      <c r="E137" s="1063" t="s">
        <v>1077</v>
      </c>
      <c r="F137" s="1064"/>
      <c r="G137" s="1063" t="s">
        <v>1078</v>
      </c>
      <c r="H137" s="1065">
        <v>1681</v>
      </c>
      <c r="I137" s="1066" t="s">
        <v>160</v>
      </c>
      <c r="J137" s="1109" t="str">
        <f t="shared" si="25"/>
        <v xml:space="preserve"> </v>
      </c>
      <c r="K137" s="1036" t="str">
        <f t="shared" si="19"/>
        <v xml:space="preserve"> </v>
      </c>
      <c r="L137" s="1036">
        <f t="shared" si="20"/>
        <v>1681</v>
      </c>
      <c r="M137" s="1109" t="str">
        <f t="shared" si="21"/>
        <v xml:space="preserve"> </v>
      </c>
      <c r="N137" s="1109" t="str">
        <f t="shared" si="26"/>
        <v xml:space="preserve"> </v>
      </c>
    </row>
    <row r="138" spans="3:14">
      <c r="C138" s="1061" t="s">
        <v>689</v>
      </c>
      <c r="D138" s="1097" t="s">
        <v>339</v>
      </c>
      <c r="E138" s="1063" t="s">
        <v>774</v>
      </c>
      <c r="F138" s="1064"/>
      <c r="G138" s="1063" t="s">
        <v>775</v>
      </c>
      <c r="H138" s="1065">
        <v>-2146660.27</v>
      </c>
      <c r="I138" s="1066" t="s">
        <v>293</v>
      </c>
      <c r="J138" s="1109">
        <f t="shared" si="25"/>
        <v>-2146660.27</v>
      </c>
      <c r="K138" s="1036" t="str">
        <f t="shared" si="19"/>
        <v xml:space="preserve"> </v>
      </c>
      <c r="L138" s="1036" t="str">
        <f t="shared" si="20"/>
        <v xml:space="preserve"> </v>
      </c>
      <c r="M138" s="1109" t="str">
        <f t="shared" si="21"/>
        <v xml:space="preserve"> </v>
      </c>
      <c r="N138" s="1109" t="str">
        <f t="shared" si="26"/>
        <v xml:space="preserve"> </v>
      </c>
    </row>
    <row r="139" spans="3:14">
      <c r="C139" s="1061" t="s">
        <v>689</v>
      </c>
      <c r="D139" s="1097" t="s">
        <v>339</v>
      </c>
      <c r="E139" s="1063" t="s">
        <v>847</v>
      </c>
      <c r="F139" s="1064"/>
      <c r="G139" s="1063" t="s">
        <v>683</v>
      </c>
      <c r="H139" s="1065">
        <v>1422377.69</v>
      </c>
      <c r="I139" s="1066" t="s">
        <v>302</v>
      </c>
      <c r="J139" s="1109" t="str">
        <f t="shared" si="25"/>
        <v xml:space="preserve"> </v>
      </c>
      <c r="K139" s="1036" t="str">
        <f t="shared" si="19"/>
        <v xml:space="preserve"> </v>
      </c>
      <c r="L139" s="1036" t="str">
        <f t="shared" si="20"/>
        <v xml:space="preserve"> </v>
      </c>
      <c r="M139" s="1109" t="str">
        <f t="shared" si="21"/>
        <v xml:space="preserve"> </v>
      </c>
      <c r="N139" s="1109">
        <f t="shared" si="26"/>
        <v>1422377.69</v>
      </c>
    </row>
    <row r="140" spans="3:14">
      <c r="C140" s="1061" t="s">
        <v>689</v>
      </c>
      <c r="D140" s="1097" t="s">
        <v>339</v>
      </c>
      <c r="E140" s="1063" t="s">
        <v>776</v>
      </c>
      <c r="F140" s="1064"/>
      <c r="G140" s="1063" t="s">
        <v>777</v>
      </c>
      <c r="H140" s="1065">
        <v>18905412.609999999</v>
      </c>
      <c r="I140" s="1066" t="s">
        <v>293</v>
      </c>
      <c r="J140" s="1109">
        <f t="shared" si="25"/>
        <v>18905412.609999999</v>
      </c>
      <c r="K140" s="1036" t="str">
        <f t="shared" si="19"/>
        <v xml:space="preserve"> </v>
      </c>
      <c r="L140" s="1036" t="str">
        <f t="shared" si="20"/>
        <v xml:space="preserve"> </v>
      </c>
      <c r="M140" s="1109" t="str">
        <f t="shared" si="21"/>
        <v xml:space="preserve"> </v>
      </c>
      <c r="N140" s="1109" t="str">
        <f t="shared" si="26"/>
        <v xml:space="preserve"> </v>
      </c>
    </row>
    <row r="141" spans="3:14">
      <c r="C141" s="1061" t="s">
        <v>689</v>
      </c>
      <c r="D141" s="1097" t="s">
        <v>339</v>
      </c>
      <c r="E141" s="1063" t="s">
        <v>778</v>
      </c>
      <c r="F141" s="1064"/>
      <c r="G141" s="1063" t="s">
        <v>779</v>
      </c>
      <c r="H141" s="1065">
        <v>271373.2</v>
      </c>
      <c r="I141" s="1066" t="s">
        <v>160</v>
      </c>
      <c r="J141" s="1109" t="str">
        <f t="shared" si="25"/>
        <v xml:space="preserve"> </v>
      </c>
      <c r="K141" s="1036" t="str">
        <f t="shared" si="19"/>
        <v xml:space="preserve"> </v>
      </c>
      <c r="L141" s="1036">
        <f t="shared" si="20"/>
        <v>271373.2</v>
      </c>
      <c r="M141" s="1109" t="str">
        <f t="shared" si="21"/>
        <v xml:space="preserve"> </v>
      </c>
      <c r="N141" s="1109" t="str">
        <f t="shared" si="26"/>
        <v xml:space="preserve"> </v>
      </c>
    </row>
    <row r="142" spans="3:14">
      <c r="C142" s="1061" t="s">
        <v>689</v>
      </c>
      <c r="D142" s="1097" t="s">
        <v>339</v>
      </c>
      <c r="E142" s="1063" t="s">
        <v>1014</v>
      </c>
      <c r="F142" s="1064"/>
      <c r="G142" s="1063" t="s">
        <v>780</v>
      </c>
      <c r="H142" s="1065">
        <v>60490843.399999999</v>
      </c>
      <c r="I142" s="1066" t="s">
        <v>160</v>
      </c>
      <c r="J142" s="1109" t="str">
        <f t="shared" si="25"/>
        <v xml:space="preserve"> </v>
      </c>
      <c r="K142" s="1036" t="str">
        <f t="shared" si="19"/>
        <v xml:space="preserve"> </v>
      </c>
      <c r="L142" s="1036">
        <f t="shared" si="20"/>
        <v>60490843.399999999</v>
      </c>
      <c r="M142" s="1109" t="str">
        <f t="shared" si="21"/>
        <v xml:space="preserve"> </v>
      </c>
      <c r="N142" s="1109" t="str">
        <f t="shared" si="26"/>
        <v xml:space="preserve"> </v>
      </c>
    </row>
    <row r="143" spans="3:14">
      <c r="C143" s="1061" t="s">
        <v>689</v>
      </c>
      <c r="D143" s="1097" t="s">
        <v>339</v>
      </c>
      <c r="E143" s="1063" t="s">
        <v>783</v>
      </c>
      <c r="F143" s="1064"/>
      <c r="G143" s="1063" t="s">
        <v>784</v>
      </c>
      <c r="H143" s="1065">
        <v>-931280</v>
      </c>
      <c r="I143" s="1066" t="s">
        <v>293</v>
      </c>
      <c r="J143" s="1109">
        <f t="shared" si="25"/>
        <v>-931280</v>
      </c>
      <c r="K143" s="1036" t="str">
        <f t="shared" si="19"/>
        <v xml:space="preserve"> </v>
      </c>
      <c r="L143" s="1036" t="str">
        <f t="shared" si="20"/>
        <v xml:space="preserve"> </v>
      </c>
      <c r="M143" s="1109" t="str">
        <f t="shared" si="21"/>
        <v xml:space="preserve"> </v>
      </c>
      <c r="N143" s="1109" t="str">
        <f t="shared" si="26"/>
        <v xml:space="preserve"> </v>
      </c>
    </row>
    <row r="144" spans="3:14">
      <c r="C144" s="1061" t="s">
        <v>689</v>
      </c>
      <c r="D144" s="1097" t="s">
        <v>339</v>
      </c>
      <c r="E144" s="1063" t="s">
        <v>848</v>
      </c>
      <c r="F144" s="1064"/>
      <c r="G144" s="1063" t="s">
        <v>785</v>
      </c>
      <c r="H144" s="1065">
        <v>693998</v>
      </c>
      <c r="I144" s="1066" t="s">
        <v>293</v>
      </c>
      <c r="J144" s="1109">
        <f t="shared" si="25"/>
        <v>693998</v>
      </c>
      <c r="K144" s="1036" t="str">
        <f t="shared" si="19"/>
        <v xml:space="preserve"> </v>
      </c>
      <c r="L144" s="1036" t="str">
        <f t="shared" si="20"/>
        <v xml:space="preserve"> </v>
      </c>
      <c r="M144" s="1109" t="str">
        <f t="shared" si="21"/>
        <v xml:space="preserve"> </v>
      </c>
      <c r="N144" s="1109" t="str">
        <f t="shared" si="26"/>
        <v xml:space="preserve"> </v>
      </c>
    </row>
    <row r="145" spans="3:14">
      <c r="C145" s="1061" t="s">
        <v>689</v>
      </c>
      <c r="D145" s="1097" t="s">
        <v>339</v>
      </c>
      <c r="E145" s="1063" t="s">
        <v>786</v>
      </c>
      <c r="F145" s="1064"/>
      <c r="G145" s="1063" t="s">
        <v>787</v>
      </c>
      <c r="H145" s="1065">
        <v>-34191.15</v>
      </c>
      <c r="I145" s="1066" t="s">
        <v>293</v>
      </c>
      <c r="J145" s="1109">
        <f t="shared" si="25"/>
        <v>-34191.15</v>
      </c>
      <c r="K145" s="1036" t="str">
        <f t="shared" si="19"/>
        <v xml:space="preserve"> </v>
      </c>
      <c r="L145" s="1036" t="str">
        <f t="shared" si="20"/>
        <v xml:space="preserve"> </v>
      </c>
      <c r="M145" s="1109" t="str">
        <f t="shared" si="21"/>
        <v xml:space="preserve"> </v>
      </c>
      <c r="N145" s="1109" t="str">
        <f t="shared" si="26"/>
        <v xml:space="preserve"> </v>
      </c>
    </row>
    <row r="146" spans="3:14">
      <c r="C146" s="1061" t="s">
        <v>689</v>
      </c>
      <c r="D146" s="1097" t="s">
        <v>339</v>
      </c>
      <c r="E146" s="1063" t="s">
        <v>788</v>
      </c>
      <c r="F146" s="1064"/>
      <c r="G146" s="1063" t="s">
        <v>789</v>
      </c>
      <c r="H146" s="1065">
        <v>551505.31000000006</v>
      </c>
      <c r="I146" s="1066" t="s">
        <v>160</v>
      </c>
      <c r="J146" s="1109" t="str">
        <f t="shared" si="25"/>
        <v xml:space="preserve"> </v>
      </c>
      <c r="K146" s="1036" t="str">
        <f t="shared" si="19"/>
        <v xml:space="preserve"> </v>
      </c>
      <c r="L146" s="1036">
        <f t="shared" si="20"/>
        <v>551505.31000000006</v>
      </c>
      <c r="M146" s="1109" t="str">
        <f t="shared" si="21"/>
        <v xml:space="preserve"> </v>
      </c>
      <c r="N146" s="1109" t="str">
        <f t="shared" si="26"/>
        <v xml:space="preserve"> </v>
      </c>
    </row>
    <row r="147" spans="3:14">
      <c r="C147" s="1061" t="s">
        <v>689</v>
      </c>
      <c r="D147" s="1097" t="s">
        <v>339</v>
      </c>
      <c r="E147" s="1063" t="s">
        <v>790</v>
      </c>
      <c r="F147" s="1064"/>
      <c r="G147" s="1063" t="s">
        <v>791</v>
      </c>
      <c r="H147" s="1065">
        <v>21540</v>
      </c>
      <c r="I147" s="1066" t="s">
        <v>293</v>
      </c>
      <c r="J147" s="1109">
        <f t="shared" si="25"/>
        <v>21540</v>
      </c>
      <c r="K147" s="1036" t="str">
        <f t="shared" si="19"/>
        <v xml:space="preserve"> </v>
      </c>
      <c r="L147" s="1036" t="str">
        <f t="shared" si="20"/>
        <v xml:space="preserve"> </v>
      </c>
      <c r="M147" s="1109" t="str">
        <f t="shared" si="21"/>
        <v xml:space="preserve"> </v>
      </c>
      <c r="N147" s="1109" t="str">
        <f t="shared" si="26"/>
        <v xml:space="preserve"> </v>
      </c>
    </row>
    <row r="148" spans="3:14">
      <c r="C148" s="1061" t="s">
        <v>689</v>
      </c>
      <c r="D148" s="1097" t="s">
        <v>339</v>
      </c>
      <c r="E148" s="1063" t="s">
        <v>792</v>
      </c>
      <c r="F148" s="1064"/>
      <c r="G148" s="1063" t="s">
        <v>793</v>
      </c>
      <c r="H148" s="1065">
        <v>867512</v>
      </c>
      <c r="I148" s="1066" t="s">
        <v>293</v>
      </c>
      <c r="J148" s="1109">
        <f t="shared" si="25"/>
        <v>867512</v>
      </c>
      <c r="K148" s="1036" t="str">
        <f t="shared" si="19"/>
        <v xml:space="preserve"> </v>
      </c>
      <c r="L148" s="1036" t="str">
        <f t="shared" si="20"/>
        <v xml:space="preserve"> </v>
      </c>
      <c r="M148" s="1109" t="str">
        <f t="shared" si="21"/>
        <v xml:space="preserve"> </v>
      </c>
      <c r="N148" s="1109" t="str">
        <f t="shared" si="26"/>
        <v xml:space="preserve"> </v>
      </c>
    </row>
    <row r="149" spans="3:14">
      <c r="C149" s="1061" t="s">
        <v>689</v>
      </c>
      <c r="D149" s="1097"/>
      <c r="E149" s="1063" t="s">
        <v>1416</v>
      </c>
      <c r="F149" s="1064"/>
      <c r="G149" s="1063" t="s">
        <v>1418</v>
      </c>
      <c r="H149" s="1065">
        <v>62885.94</v>
      </c>
      <c r="I149" s="1066" t="s">
        <v>293</v>
      </c>
      <c r="J149" s="1109">
        <f t="shared" ref="J149:J150" si="27">IF(I149="e",H149," ")</f>
        <v>62885.94</v>
      </c>
      <c r="K149" s="1036" t="str">
        <f t="shared" si="19"/>
        <v xml:space="preserve"> </v>
      </c>
      <c r="L149" s="1036" t="str">
        <f t="shared" si="20"/>
        <v xml:space="preserve"> </v>
      </c>
      <c r="M149" s="1109" t="str">
        <f t="shared" si="21"/>
        <v xml:space="preserve"> </v>
      </c>
      <c r="N149" s="1109" t="str">
        <f t="shared" ref="N149:N150" si="28">IF(I149="Labor",H149," ")</f>
        <v xml:space="preserve"> </v>
      </c>
    </row>
    <row r="150" spans="3:14">
      <c r="C150" s="1061" t="s">
        <v>689</v>
      </c>
      <c r="D150" s="1097"/>
      <c r="E150" s="1063" t="s">
        <v>1417</v>
      </c>
      <c r="F150" s="1064"/>
      <c r="G150" s="1063" t="s">
        <v>1419</v>
      </c>
      <c r="H150" s="1065">
        <v>70345.95</v>
      </c>
      <c r="I150" s="1066" t="s">
        <v>293</v>
      </c>
      <c r="J150" s="1109">
        <f t="shared" si="27"/>
        <v>70345.95</v>
      </c>
      <c r="K150" s="1036" t="str">
        <f t="shared" si="19"/>
        <v xml:space="preserve"> </v>
      </c>
      <c r="L150" s="1036" t="str">
        <f t="shared" si="20"/>
        <v xml:space="preserve"> </v>
      </c>
      <c r="M150" s="1109" t="str">
        <f t="shared" si="21"/>
        <v xml:space="preserve"> </v>
      </c>
      <c r="N150" s="1109" t="str">
        <f t="shared" si="28"/>
        <v xml:space="preserve"> </v>
      </c>
    </row>
    <row r="151" spans="3:14">
      <c r="C151" s="700"/>
      <c r="D151" s="700"/>
      <c r="E151" s="1064"/>
      <c r="F151" s="1064"/>
      <c r="G151" s="1064"/>
      <c r="H151" s="1090"/>
      <c r="I151" s="1098"/>
      <c r="J151" s="1109" t="str">
        <f t="shared" si="25"/>
        <v xml:space="preserve"> </v>
      </c>
      <c r="K151" s="1036" t="str">
        <f t="shared" si="19"/>
        <v xml:space="preserve"> </v>
      </c>
      <c r="L151" s="1036" t="str">
        <f t="shared" si="20"/>
        <v xml:space="preserve"> </v>
      </c>
      <c r="M151" s="1109" t="str">
        <f t="shared" si="21"/>
        <v xml:space="preserve"> </v>
      </c>
      <c r="N151" s="1109" t="str">
        <f t="shared" si="26"/>
        <v xml:space="preserve"> </v>
      </c>
    </row>
    <row r="152" spans="3:14">
      <c r="C152" s="1083">
        <v>1901002</v>
      </c>
      <c r="D152" s="700"/>
      <c r="E152" s="1063" t="s">
        <v>1079</v>
      </c>
      <c r="F152" s="1064"/>
      <c r="G152" s="1063" t="s">
        <v>1080</v>
      </c>
      <c r="H152" s="1065">
        <v>16194103</v>
      </c>
      <c r="I152" s="1066" t="s">
        <v>293</v>
      </c>
      <c r="J152" s="1109">
        <f t="shared" si="25"/>
        <v>16194103</v>
      </c>
      <c r="K152" s="1036" t="str">
        <f t="shared" si="19"/>
        <v xml:space="preserve"> </v>
      </c>
      <c r="L152" s="1036" t="str">
        <f t="shared" si="20"/>
        <v xml:space="preserve"> </v>
      </c>
      <c r="M152" s="1109" t="str">
        <f t="shared" si="21"/>
        <v xml:space="preserve"> </v>
      </c>
      <c r="N152" s="1109" t="str">
        <f t="shared" si="26"/>
        <v xml:space="preserve"> </v>
      </c>
    </row>
    <row r="153" spans="3:14">
      <c r="C153" s="1083">
        <v>1901002</v>
      </c>
      <c r="D153" s="1097"/>
      <c r="E153" s="1063" t="s">
        <v>1040</v>
      </c>
      <c r="F153" s="1064"/>
      <c r="G153" s="1063" t="s">
        <v>1041</v>
      </c>
      <c r="H153" s="1065">
        <v>14821745.220000001</v>
      </c>
      <c r="I153" s="1066" t="s">
        <v>293</v>
      </c>
      <c r="J153" s="1109">
        <f t="shared" si="25"/>
        <v>14821745.220000001</v>
      </c>
      <c r="K153" s="1036" t="str">
        <f t="shared" si="19"/>
        <v xml:space="preserve"> </v>
      </c>
      <c r="L153" s="1036" t="str">
        <f t="shared" si="20"/>
        <v xml:space="preserve"> </v>
      </c>
      <c r="M153" s="1109" t="str">
        <f t="shared" si="21"/>
        <v xml:space="preserve"> </v>
      </c>
      <c r="N153" s="1109" t="str">
        <f t="shared" si="26"/>
        <v xml:space="preserve"> </v>
      </c>
    </row>
    <row r="154" spans="3:14">
      <c r="C154" s="1083">
        <v>1901002</v>
      </c>
      <c r="D154" s="1097"/>
      <c r="E154" s="1063" t="s">
        <v>827</v>
      </c>
      <c r="F154" s="1064"/>
      <c r="G154" s="1063" t="s">
        <v>651</v>
      </c>
      <c r="H154" s="1065">
        <v>28618227.140000001</v>
      </c>
      <c r="I154" s="1066" t="s">
        <v>293</v>
      </c>
      <c r="J154" s="1109">
        <f t="shared" si="25"/>
        <v>28618227.140000001</v>
      </c>
      <c r="K154" s="1036" t="str">
        <f t="shared" si="19"/>
        <v xml:space="preserve"> </v>
      </c>
      <c r="L154" s="1036" t="str">
        <f t="shared" si="20"/>
        <v xml:space="preserve"> </v>
      </c>
      <c r="M154" s="1109" t="str">
        <f t="shared" si="21"/>
        <v xml:space="preserve"> </v>
      </c>
      <c r="N154" s="1109" t="str">
        <f t="shared" si="26"/>
        <v xml:space="preserve"> </v>
      </c>
    </row>
    <row r="155" spans="3:14">
      <c r="C155" s="1083">
        <v>1901002</v>
      </c>
      <c r="D155" s="1069"/>
      <c r="E155" s="1063" t="s">
        <v>1402</v>
      </c>
      <c r="F155" s="1064"/>
      <c r="G155" s="1063" t="s">
        <v>1403</v>
      </c>
      <c r="H155" s="1073">
        <v>-105000</v>
      </c>
      <c r="I155" s="1071" t="s">
        <v>293</v>
      </c>
      <c r="J155" s="1109">
        <f t="shared" si="18"/>
        <v>-105000</v>
      </c>
      <c r="K155" s="1036" t="str">
        <f t="shared" si="19"/>
        <v xml:space="preserve"> </v>
      </c>
      <c r="L155" s="1036" t="str">
        <f t="shared" si="20"/>
        <v xml:space="preserve"> </v>
      </c>
      <c r="M155" s="1109" t="str">
        <f t="shared" si="21"/>
        <v xml:space="preserve"> </v>
      </c>
      <c r="N155" s="1109" t="str">
        <f t="shared" si="22"/>
        <v xml:space="preserve"> </v>
      </c>
    </row>
    <row r="156" spans="3:14" s="1114" customFormat="1">
      <c r="C156" s="1129"/>
      <c r="D156" s="1119"/>
      <c r="E156" s="1120"/>
      <c r="F156" s="1121"/>
      <c r="G156" s="1122"/>
      <c r="H156" s="1123"/>
      <c r="I156" s="1124"/>
      <c r="J156" s="1125"/>
      <c r="K156" s="1113"/>
      <c r="L156" s="1113"/>
      <c r="M156" s="1112"/>
      <c r="N156" s="1112"/>
    </row>
    <row r="157" spans="3:14">
      <c r="C157" s="1072"/>
      <c r="D157" s="1069"/>
      <c r="E157" s="1072"/>
      <c r="F157" s="1061"/>
      <c r="G157" s="1072"/>
      <c r="H157" s="1073"/>
      <c r="I157" s="1071"/>
      <c r="J157" s="1109"/>
      <c r="K157" s="1036"/>
      <c r="L157" s="1036"/>
      <c r="M157" s="1109"/>
      <c r="N157" s="1109"/>
    </row>
    <row r="158" spans="3:14">
      <c r="C158" s="1061"/>
      <c r="D158" s="1130"/>
      <c r="E158" s="1061"/>
      <c r="F158" s="1061"/>
      <c r="G158" s="1061"/>
      <c r="H158" s="964"/>
      <c r="I158" s="1066"/>
      <c r="J158" s="1065"/>
      <c r="K158" s="1065"/>
      <c r="L158" s="1065"/>
      <c r="M158" s="1065"/>
      <c r="N158" s="1065"/>
    </row>
    <row r="159" spans="3:14">
      <c r="C159" s="1061"/>
      <c r="D159" s="1130"/>
      <c r="E159" s="1061"/>
      <c r="F159" s="1061"/>
      <c r="G159" s="1061"/>
      <c r="H159" s="964"/>
      <c r="I159" s="1066"/>
      <c r="J159" s="1109" t="str">
        <f t="shared" si="18"/>
        <v xml:space="preserve"> </v>
      </c>
      <c r="K159" s="1036" t="str">
        <f t="shared" si="19"/>
        <v xml:space="preserve"> </v>
      </c>
      <c r="L159" s="1036" t="str">
        <f t="shared" si="20"/>
        <v xml:space="preserve"> </v>
      </c>
      <c r="M159" s="1109" t="str">
        <f t="shared" si="21"/>
        <v xml:space="preserve"> </v>
      </c>
      <c r="N159" s="1109" t="str">
        <f t="shared" si="22"/>
        <v xml:space="preserve"> </v>
      </c>
    </row>
    <row r="160" spans="3:14">
      <c r="C160" s="1061"/>
      <c r="D160" s="1130"/>
      <c r="E160" s="1061"/>
      <c r="F160" s="1061"/>
      <c r="G160" s="1061"/>
      <c r="H160" s="964"/>
      <c r="I160" s="1066"/>
      <c r="J160" s="1109" t="str">
        <f t="shared" si="18"/>
        <v xml:space="preserve"> </v>
      </c>
      <c r="K160" s="1036" t="str">
        <f t="shared" si="19"/>
        <v xml:space="preserve"> </v>
      </c>
      <c r="L160" s="1036" t="str">
        <f t="shared" si="20"/>
        <v xml:space="preserve"> </v>
      </c>
      <c r="M160" s="1109" t="str">
        <f t="shared" si="21"/>
        <v xml:space="preserve"> </v>
      </c>
      <c r="N160" s="1109" t="str">
        <f t="shared" si="22"/>
        <v xml:space="preserve"> </v>
      </c>
    </row>
    <row r="161" spans="3:15">
      <c r="C161" s="1061"/>
      <c r="D161" s="1130"/>
      <c r="E161" s="1061"/>
      <c r="F161" s="1061"/>
      <c r="G161" s="1061"/>
      <c r="H161" s="964"/>
      <c r="I161" s="1066"/>
      <c r="J161" s="1109" t="str">
        <f t="shared" si="18"/>
        <v xml:space="preserve"> </v>
      </c>
      <c r="K161" s="1036" t="str">
        <f t="shared" si="19"/>
        <v xml:space="preserve"> </v>
      </c>
      <c r="L161" s="1036" t="str">
        <f t="shared" si="20"/>
        <v xml:space="preserve"> </v>
      </c>
      <c r="M161" s="1109" t="str">
        <f t="shared" si="21"/>
        <v xml:space="preserve"> </v>
      </c>
      <c r="N161" s="1109" t="str">
        <f t="shared" si="22"/>
        <v xml:space="preserve"> </v>
      </c>
    </row>
    <row r="162" spans="3:15">
      <c r="C162" s="1061"/>
      <c r="D162" s="1069"/>
      <c r="E162" s="1131"/>
      <c r="F162" s="1088"/>
      <c r="G162" s="1061"/>
      <c r="H162" s="1073"/>
      <c r="I162" s="1066"/>
      <c r="J162" s="1109" t="str">
        <f t="shared" si="18"/>
        <v xml:space="preserve"> </v>
      </c>
      <c r="K162" s="1036" t="str">
        <f t="shared" si="19"/>
        <v xml:space="preserve"> </v>
      </c>
      <c r="L162" s="1036" t="str">
        <f t="shared" si="20"/>
        <v xml:space="preserve"> </v>
      </c>
      <c r="M162" s="1109" t="str">
        <f t="shared" si="21"/>
        <v xml:space="preserve"> </v>
      </c>
      <c r="N162" s="1109" t="str">
        <f t="shared" si="22"/>
        <v xml:space="preserve"> </v>
      </c>
    </row>
    <row r="163" spans="3:15">
      <c r="C163" s="1106"/>
      <c r="D163" s="1075"/>
      <c r="E163" s="1106"/>
      <c r="G163" s="1106"/>
      <c r="H163" s="1132"/>
      <c r="I163" s="1036"/>
      <c r="J163" s="1081"/>
      <c r="K163" s="1081"/>
      <c r="L163" s="1036"/>
      <c r="M163" s="1081"/>
      <c r="N163" s="1081"/>
    </row>
    <row r="164" spans="3:15">
      <c r="C164" s="1116">
        <v>190.1</v>
      </c>
      <c r="D164" s="1023"/>
      <c r="G164" s="1077" t="s">
        <v>161</v>
      </c>
      <c r="H164" s="1078">
        <f>SUM(H106:H162)</f>
        <v>150959847.27999997</v>
      </c>
      <c r="J164" s="1078">
        <f>SUM(J106:J162)</f>
        <v>78836257.629999995</v>
      </c>
      <c r="K164" s="1078">
        <f>SUM(K106:K162)</f>
        <v>0</v>
      </c>
      <c r="L164" s="1078">
        <f>SUM(L106:L162)</f>
        <v>63033001.469999999</v>
      </c>
      <c r="M164" s="1078">
        <f>SUM(M106:M162)</f>
        <v>0</v>
      </c>
      <c r="N164" s="1078">
        <f>SUM(N106:N162)</f>
        <v>9090588.1800000016</v>
      </c>
      <c r="O164" s="1068"/>
    </row>
    <row r="165" spans="3:15">
      <c r="G165" s="1128" t="s">
        <v>130</v>
      </c>
      <c r="H165" s="1117">
        <v>150959847</v>
      </c>
      <c r="I165" s="1080"/>
    </row>
    <row r="167" spans="3:15">
      <c r="J167" s="1096"/>
    </row>
    <row r="184" spans="3:8">
      <c r="C184" s="1106"/>
      <c r="D184" s="1075"/>
      <c r="E184" s="1106"/>
      <c r="G184" s="1106"/>
      <c r="H184" s="1107"/>
    </row>
    <row r="220" spans="3:6">
      <c r="C220" s="1106"/>
      <c r="D220" s="1106"/>
      <c r="E220" s="1106"/>
      <c r="F220" s="1051"/>
    </row>
    <row r="221" spans="3:6">
      <c r="C221" s="1106"/>
      <c r="D221" s="1106"/>
      <c r="E221" s="1106"/>
    </row>
    <row r="222" spans="3:6">
      <c r="C222" s="1106"/>
      <c r="D222" s="1106"/>
      <c r="E222" s="1106"/>
    </row>
    <row r="223" spans="3:6">
      <c r="C223" s="1106"/>
      <c r="D223" s="1106"/>
      <c r="E223" s="1106"/>
    </row>
    <row r="224" spans="3:6">
      <c r="C224" s="1106"/>
      <c r="D224" s="1106"/>
      <c r="E224" s="1106"/>
    </row>
    <row r="225" spans="3:5">
      <c r="C225" s="1106"/>
      <c r="D225" s="1106"/>
      <c r="E225" s="1106"/>
    </row>
    <row r="226" spans="3:5">
      <c r="C226" s="1106"/>
      <c r="D226" s="1106"/>
      <c r="E226" s="1106"/>
    </row>
    <row r="227" spans="3:5">
      <c r="C227" s="1106"/>
      <c r="D227" s="1106"/>
      <c r="E227" s="1106"/>
    </row>
    <row r="228" spans="3:5">
      <c r="C228" s="1106"/>
      <c r="D228" s="1106"/>
      <c r="E228" s="1106"/>
    </row>
    <row r="229" spans="3:5">
      <c r="C229" s="1106"/>
      <c r="D229" s="1106"/>
      <c r="E229" s="1106"/>
    </row>
    <row r="230" spans="3:5">
      <c r="C230" s="1106"/>
      <c r="D230" s="1106"/>
      <c r="E230" s="1106"/>
    </row>
    <row r="231" spans="3:5">
      <c r="C231" s="1106"/>
      <c r="D231" s="1106"/>
      <c r="E231" s="1106"/>
    </row>
    <row r="232" spans="3:5">
      <c r="C232" s="1106"/>
      <c r="D232" s="1106"/>
      <c r="E232" s="1106"/>
    </row>
    <row r="233" spans="3:5">
      <c r="C233" s="1106"/>
      <c r="D233" s="1106"/>
      <c r="E233" s="1106"/>
    </row>
    <row r="234" spans="3:5">
      <c r="C234" s="1106"/>
      <c r="D234" s="1106"/>
      <c r="E234" s="1106"/>
    </row>
    <row r="235" spans="3:5">
      <c r="C235" s="1106"/>
      <c r="D235" s="1106"/>
      <c r="E235" s="1106"/>
    </row>
    <row r="236" spans="3:5">
      <c r="C236" s="1106"/>
      <c r="D236" s="1106"/>
      <c r="E236" s="1106"/>
    </row>
    <row r="237" spans="3:5">
      <c r="C237" s="1106"/>
      <c r="D237" s="1106"/>
      <c r="E237" s="1106"/>
    </row>
    <row r="238" spans="3:5">
      <c r="C238" s="1106"/>
      <c r="D238" s="1106"/>
      <c r="E238" s="1106"/>
    </row>
    <row r="239" spans="3:5">
      <c r="D239" s="1023"/>
    </row>
    <row r="240" spans="3:5">
      <c r="D240" s="1023"/>
    </row>
    <row r="241" spans="3:7">
      <c r="D241" s="1023"/>
    </row>
    <row r="242" spans="3:7">
      <c r="D242" s="1023"/>
    </row>
    <row r="243" spans="3:7">
      <c r="D243" s="1023"/>
    </row>
    <row r="244" spans="3:7">
      <c r="D244" s="1023"/>
    </row>
    <row r="245" spans="3:7">
      <c r="D245" s="1023"/>
    </row>
    <row r="246" spans="3:7">
      <c r="D246" s="1023"/>
    </row>
    <row r="247" spans="3:7">
      <c r="D247" s="1023"/>
    </row>
    <row r="248" spans="3:7">
      <c r="D248" s="1023"/>
    </row>
    <row r="249" spans="3:7">
      <c r="D249" s="1023"/>
    </row>
    <row r="250" spans="3:7">
      <c r="D250" s="1023"/>
    </row>
    <row r="251" spans="3:7">
      <c r="D251" s="1023"/>
    </row>
    <row r="252" spans="3:7">
      <c r="D252" s="1023"/>
    </row>
    <row r="253" spans="3:7">
      <c r="D253" s="1023"/>
    </row>
    <row r="254" spans="3:7">
      <c r="D254" s="1023"/>
    </row>
    <row r="255" spans="3:7">
      <c r="D255" s="1023"/>
    </row>
    <row r="256" spans="3:7">
      <c r="C256" s="1106"/>
      <c r="D256" s="1075"/>
      <c r="E256" s="1106"/>
      <c r="F256" s="1106"/>
      <c r="G256" s="1106"/>
    </row>
    <row r="257" spans="3:7">
      <c r="C257" s="1106"/>
      <c r="D257" s="1075"/>
      <c r="E257" s="1106"/>
      <c r="F257" s="1106"/>
      <c r="G257" s="1106"/>
    </row>
    <row r="258" spans="3:7">
      <c r="C258" s="1106"/>
      <c r="D258" s="1075"/>
      <c r="E258" s="1106"/>
      <c r="F258" s="1106"/>
      <c r="G258" s="1106"/>
    </row>
    <row r="259" spans="3:7">
      <c r="C259" s="1106"/>
      <c r="D259" s="1075"/>
      <c r="E259" s="1106"/>
      <c r="F259" s="1106"/>
      <c r="G259" s="1106"/>
    </row>
    <row r="260" spans="3:7">
      <c r="C260" s="1106"/>
      <c r="D260" s="1075"/>
      <c r="E260" s="1106"/>
      <c r="F260" s="1106"/>
      <c r="G260" s="1106"/>
    </row>
    <row r="261" spans="3:7">
      <c r="C261" s="1106"/>
      <c r="D261" s="1075"/>
      <c r="E261" s="1106"/>
      <c r="F261" s="1106"/>
      <c r="G261" s="1106"/>
    </row>
  </sheetData>
  <mergeCells count="5">
    <mergeCell ref="J8:N8"/>
    <mergeCell ref="C4:N4"/>
    <mergeCell ref="C5:N5"/>
    <mergeCell ref="C6:N6"/>
    <mergeCell ref="C3:N3"/>
  </mergeCells>
  <phoneticPr fontId="0" type="noConversion"/>
  <conditionalFormatting sqref="O164 O101 O50">
    <cfRule type="cellIs" dxfId="7"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sqref="A1:XFD1048576"/>
    </sheetView>
  </sheetViews>
  <sheetFormatPr defaultColWidth="9.140625" defaultRowHeight="12.75"/>
  <cols>
    <col min="1" max="1" width="9.140625" style="1008"/>
    <col min="2" max="2" width="33.7109375" style="1008" customWidth="1"/>
    <col min="3" max="3" width="16" style="1008" customWidth="1"/>
    <col min="4" max="4" width="16.85546875" style="1008" customWidth="1"/>
    <col min="5" max="6" width="12" style="1008" customWidth="1"/>
    <col min="7" max="7" width="15" style="1008" customWidth="1"/>
    <col min="8" max="8" width="17.140625" style="1008" customWidth="1"/>
    <col min="9" max="9" width="16.5703125" style="1008" customWidth="1"/>
    <col min="10" max="16384" width="9.140625" style="1008"/>
  </cols>
  <sheetData>
    <row r="1" spans="1:256" ht="15">
      <c r="A1" s="1007"/>
    </row>
    <row r="3" spans="1:256" ht="18" customHeight="1">
      <c r="A3" s="2455" t="str">
        <f>+'PSO TCOS'!F4</f>
        <v xml:space="preserve">AEP West SPP Member Operating Companies </v>
      </c>
      <c r="B3" s="2455"/>
      <c r="C3" s="2455"/>
      <c r="D3" s="2455"/>
      <c r="E3" s="2455"/>
      <c r="F3" s="2455"/>
      <c r="G3" s="2455"/>
      <c r="H3" s="2455"/>
      <c r="I3" s="2455"/>
      <c r="J3" s="1133"/>
      <c r="K3" s="1133"/>
      <c r="L3" s="1133"/>
    </row>
    <row r="4" spans="1:256" ht="18">
      <c r="A4" s="2463" t="str">
        <f>+'PSO TCOS'!F8</f>
        <v>PUBLIC SERVICE COMPANY OF OKLAHOMA</v>
      </c>
      <c r="B4" s="2463"/>
      <c r="C4" s="2463"/>
      <c r="D4" s="2463"/>
      <c r="E4" s="2463"/>
      <c r="F4" s="2463"/>
      <c r="G4" s="2463"/>
      <c r="H4" s="2463"/>
      <c r="I4" s="2463"/>
      <c r="J4" s="1134"/>
      <c r="K4" s="1134"/>
      <c r="L4" s="1134"/>
    </row>
    <row r="5" spans="1:256" ht="18">
      <c r="A5" s="2458" t="s">
        <v>888</v>
      </c>
      <c r="B5" s="2458"/>
      <c r="C5" s="2458"/>
      <c r="D5" s="2458"/>
      <c r="E5" s="2458"/>
      <c r="F5" s="2458"/>
      <c r="G5" s="2458"/>
      <c r="H5" s="2458"/>
      <c r="I5" s="2458"/>
      <c r="J5" s="1134"/>
      <c r="K5" s="1134"/>
      <c r="L5" s="1134"/>
    </row>
    <row r="6" spans="1:256" ht="18">
      <c r="A6" s="2460" t="str">
        <f>"AS OF DECEMBER 31, "&amp;'PSO TCOS'!N2&amp;""</f>
        <v>AS OF DECEMBER 31, 2018</v>
      </c>
      <c r="B6" s="2460"/>
      <c r="C6" s="2460"/>
      <c r="D6" s="2460"/>
      <c r="E6" s="2460"/>
      <c r="F6" s="2460"/>
      <c r="G6" s="2460"/>
      <c r="H6" s="2460"/>
      <c r="I6" s="2460"/>
      <c r="J6" s="1135"/>
      <c r="K6" s="1135"/>
      <c r="L6" s="1135"/>
    </row>
    <row r="7" spans="1:256" ht="15.75">
      <c r="A7" s="1136"/>
      <c r="B7" s="2464"/>
      <c r="C7" s="2464"/>
      <c r="D7" s="2464"/>
      <c r="E7" s="2464"/>
      <c r="F7" s="1137"/>
      <c r="G7" s="1137"/>
      <c r="H7" s="1137"/>
      <c r="I7" s="1137"/>
      <c r="J7" s="1136"/>
      <c r="K7" s="1136"/>
      <c r="L7" s="1136"/>
      <c r="M7" s="1136"/>
      <c r="N7" s="1136"/>
      <c r="O7" s="1136"/>
      <c r="P7" s="1136"/>
      <c r="Q7" s="1136"/>
      <c r="R7" s="1136"/>
      <c r="S7" s="1136"/>
      <c r="T7" s="1136"/>
      <c r="U7" s="1136"/>
      <c r="V7" s="1136"/>
      <c r="W7" s="1136"/>
      <c r="X7" s="1136"/>
      <c r="Y7" s="1136"/>
      <c r="Z7" s="1136"/>
      <c r="AA7" s="1136"/>
      <c r="AB7" s="1136"/>
      <c r="AC7" s="1136"/>
      <c r="AD7" s="1136"/>
      <c r="AE7" s="1136"/>
      <c r="AF7" s="1136"/>
      <c r="AG7" s="1136"/>
      <c r="AH7" s="1136"/>
      <c r="AI7" s="1136"/>
      <c r="AJ7" s="1136"/>
      <c r="AK7" s="1136"/>
      <c r="AL7" s="1136"/>
      <c r="AM7" s="1136"/>
      <c r="AN7" s="1136"/>
      <c r="AO7" s="1136"/>
      <c r="AP7" s="1136"/>
      <c r="AQ7" s="1136"/>
      <c r="AR7" s="1136"/>
      <c r="AS7" s="1136"/>
      <c r="AT7" s="1136"/>
      <c r="AU7" s="1136"/>
      <c r="AV7" s="1136"/>
      <c r="AW7" s="1136"/>
      <c r="AX7" s="1136"/>
      <c r="AY7" s="1136"/>
      <c r="AZ7" s="1136"/>
      <c r="BA7" s="1136"/>
      <c r="BB7" s="1136"/>
      <c r="BC7" s="1136"/>
      <c r="BD7" s="1136"/>
      <c r="BE7" s="1136"/>
      <c r="BF7" s="1136"/>
      <c r="BG7" s="1136"/>
      <c r="BH7" s="1136"/>
      <c r="BI7" s="1136"/>
      <c r="BJ7" s="1136"/>
      <c r="BK7" s="1136"/>
      <c r="BL7" s="1136"/>
      <c r="BM7" s="1136"/>
      <c r="BN7" s="1136"/>
      <c r="BO7" s="1136"/>
      <c r="BP7" s="1136"/>
      <c r="BQ7" s="1136"/>
      <c r="BR7" s="1136"/>
      <c r="BS7" s="1136"/>
      <c r="BT7" s="1136"/>
      <c r="BU7" s="1136"/>
      <c r="BV7" s="1136"/>
      <c r="BW7" s="1136"/>
      <c r="BX7" s="1136"/>
      <c r="BY7" s="1136"/>
      <c r="BZ7" s="1136"/>
      <c r="CA7" s="1136"/>
      <c r="CB7" s="1136"/>
      <c r="CC7" s="1136"/>
      <c r="CD7" s="1136"/>
      <c r="CE7" s="1136"/>
      <c r="CF7" s="1136"/>
      <c r="CG7" s="1136"/>
      <c r="CH7" s="1136"/>
      <c r="CI7" s="1136"/>
      <c r="CJ7" s="1136"/>
      <c r="CK7" s="1136"/>
      <c r="CL7" s="1136"/>
      <c r="CM7" s="1136"/>
      <c r="CN7" s="1136"/>
      <c r="CO7" s="1136"/>
      <c r="CP7" s="1136"/>
      <c r="CQ7" s="1136"/>
      <c r="CR7" s="1136"/>
      <c r="CS7" s="1136"/>
      <c r="CT7" s="1136"/>
      <c r="CU7" s="1136"/>
      <c r="CV7" s="1136"/>
      <c r="CW7" s="1136"/>
      <c r="CX7" s="1136"/>
      <c r="CY7" s="1136"/>
      <c r="CZ7" s="1136"/>
      <c r="DA7" s="1136"/>
      <c r="DB7" s="1136"/>
      <c r="DC7" s="1136"/>
      <c r="DD7" s="1136"/>
      <c r="DE7" s="1136"/>
      <c r="DF7" s="1136"/>
      <c r="DG7" s="1136"/>
      <c r="DH7" s="1136"/>
      <c r="DI7" s="1136"/>
      <c r="DJ7" s="1136"/>
      <c r="DK7" s="1136"/>
      <c r="DL7" s="1136"/>
      <c r="DM7" s="1136"/>
      <c r="DN7" s="1136"/>
      <c r="DO7" s="1136"/>
      <c r="DP7" s="1136"/>
      <c r="DQ7" s="1136"/>
      <c r="DR7" s="1136"/>
      <c r="DS7" s="1136"/>
      <c r="DT7" s="1136"/>
      <c r="DU7" s="1136"/>
      <c r="DV7" s="1136"/>
      <c r="DW7" s="1136"/>
      <c r="DX7" s="1136"/>
      <c r="DY7" s="1136"/>
      <c r="DZ7" s="1136"/>
      <c r="EA7" s="1136"/>
      <c r="EB7" s="1136"/>
      <c r="EC7" s="1136"/>
      <c r="ED7" s="1136"/>
      <c r="EE7" s="1136"/>
      <c r="EF7" s="1136"/>
      <c r="EG7" s="1136"/>
      <c r="EH7" s="1136"/>
      <c r="EI7" s="1136"/>
      <c r="EJ7" s="1136"/>
      <c r="EK7" s="1136"/>
      <c r="EL7" s="1136"/>
      <c r="EM7" s="1136"/>
      <c r="EN7" s="1136"/>
      <c r="EO7" s="1136"/>
      <c r="EP7" s="1136"/>
      <c r="EQ7" s="1136"/>
      <c r="ER7" s="1136"/>
      <c r="ES7" s="1136"/>
      <c r="ET7" s="1136"/>
      <c r="EU7" s="1136"/>
      <c r="EV7" s="1136"/>
      <c r="EW7" s="1136"/>
      <c r="EX7" s="1136"/>
      <c r="EY7" s="1136"/>
      <c r="EZ7" s="1136"/>
      <c r="FA7" s="1136"/>
      <c r="FB7" s="1136"/>
      <c r="FC7" s="1136"/>
      <c r="FD7" s="1136"/>
      <c r="FE7" s="1136"/>
      <c r="FF7" s="1136"/>
      <c r="FG7" s="1136"/>
      <c r="FH7" s="1136"/>
      <c r="FI7" s="1136"/>
      <c r="FJ7" s="1136"/>
      <c r="FK7" s="1136"/>
      <c r="FL7" s="1136"/>
      <c r="FM7" s="1136"/>
      <c r="FN7" s="1136"/>
      <c r="FO7" s="1136"/>
      <c r="FP7" s="1136"/>
      <c r="FQ7" s="1136"/>
      <c r="FR7" s="1136"/>
      <c r="FS7" s="1136"/>
      <c r="FT7" s="1136"/>
      <c r="FU7" s="1136"/>
      <c r="FV7" s="1136"/>
      <c r="FW7" s="1136"/>
      <c r="FX7" s="1136"/>
      <c r="FY7" s="1136"/>
      <c r="FZ7" s="1136"/>
      <c r="GA7" s="1136"/>
      <c r="GB7" s="1136"/>
      <c r="GC7" s="1136"/>
      <c r="GD7" s="1136"/>
      <c r="GE7" s="1136"/>
      <c r="GF7" s="1136"/>
      <c r="GG7" s="1136"/>
      <c r="GH7" s="1136"/>
      <c r="GI7" s="1136"/>
      <c r="GJ7" s="1136"/>
      <c r="GK7" s="1136"/>
      <c r="GL7" s="1136"/>
      <c r="GM7" s="1136"/>
      <c r="GN7" s="1136"/>
      <c r="GO7" s="1136"/>
      <c r="GP7" s="1136"/>
      <c r="GQ7" s="1136"/>
      <c r="GR7" s="1136"/>
      <c r="GS7" s="1136"/>
      <c r="GT7" s="1136"/>
      <c r="GU7" s="1136"/>
      <c r="GV7" s="1136"/>
      <c r="GW7" s="1136"/>
      <c r="GX7" s="1136"/>
      <c r="GY7" s="1136"/>
      <c r="GZ7" s="1136"/>
      <c r="HA7" s="1136"/>
      <c r="HB7" s="1136"/>
      <c r="HC7" s="1136"/>
      <c r="HD7" s="1136"/>
      <c r="HE7" s="1136"/>
      <c r="HF7" s="1136"/>
      <c r="HG7" s="1136"/>
      <c r="HH7" s="1136"/>
      <c r="HI7" s="1136"/>
      <c r="HJ7" s="1136"/>
      <c r="HK7" s="1136"/>
      <c r="HL7" s="1136"/>
      <c r="HM7" s="1136"/>
      <c r="HN7" s="1136"/>
      <c r="HO7" s="1136"/>
      <c r="HP7" s="1136"/>
      <c r="HQ7" s="1136"/>
      <c r="HR7" s="1136"/>
      <c r="HS7" s="1136"/>
      <c r="HT7" s="1136"/>
      <c r="HU7" s="1136"/>
      <c r="HV7" s="1136"/>
      <c r="HW7" s="1136"/>
      <c r="HX7" s="1136"/>
      <c r="HY7" s="1136"/>
      <c r="HZ7" s="1136"/>
      <c r="IA7" s="1136"/>
      <c r="IB7" s="1136"/>
      <c r="IC7" s="1136"/>
      <c r="ID7" s="1136"/>
      <c r="IE7" s="1136"/>
      <c r="IF7" s="1136"/>
      <c r="IG7" s="1136"/>
      <c r="IH7" s="1136"/>
      <c r="II7" s="1136"/>
      <c r="IJ7" s="1136"/>
      <c r="IK7" s="1136"/>
      <c r="IL7" s="1136"/>
      <c r="IM7" s="1136"/>
      <c r="IN7" s="1136"/>
      <c r="IO7" s="1136"/>
      <c r="IP7" s="1136"/>
      <c r="IQ7" s="1136"/>
      <c r="IR7" s="1136"/>
      <c r="IS7" s="1136"/>
      <c r="IT7" s="1136"/>
      <c r="IU7" s="1136"/>
      <c r="IV7" s="1136"/>
    </row>
    <row r="8" spans="1:256" ht="57" customHeight="1">
      <c r="A8" s="2465" t="s">
        <v>874</v>
      </c>
      <c r="B8" s="2465"/>
      <c r="C8" s="2465"/>
      <c r="D8" s="2465"/>
      <c r="E8" s="2465"/>
      <c r="F8" s="2465"/>
      <c r="G8" s="2465"/>
      <c r="H8" s="2465"/>
      <c r="I8" s="2465"/>
      <c r="J8" s="1136"/>
      <c r="K8" s="1136"/>
      <c r="L8" s="1136"/>
      <c r="M8" s="1136"/>
      <c r="N8" s="1136"/>
      <c r="O8" s="1136"/>
      <c r="P8" s="1136"/>
      <c r="Q8" s="1136"/>
      <c r="R8" s="1136"/>
      <c r="S8" s="1136"/>
      <c r="T8" s="1136"/>
      <c r="U8" s="1136"/>
      <c r="V8" s="1136"/>
      <c r="W8" s="1136"/>
      <c r="X8" s="1136"/>
      <c r="Y8" s="1136"/>
      <c r="Z8" s="1136"/>
      <c r="AA8" s="1136"/>
      <c r="AB8" s="1136"/>
      <c r="AC8" s="1136"/>
      <c r="AD8" s="1136"/>
      <c r="AE8" s="1136"/>
      <c r="AF8" s="1136"/>
      <c r="AG8" s="1136"/>
      <c r="AH8" s="1136"/>
      <c r="AI8" s="1136"/>
      <c r="AJ8" s="1136"/>
      <c r="AK8" s="1136"/>
      <c r="AL8" s="1136"/>
      <c r="AM8" s="1136"/>
      <c r="AN8" s="1136"/>
      <c r="AO8" s="1136"/>
      <c r="AP8" s="1136"/>
      <c r="AQ8" s="1136"/>
      <c r="AR8" s="1136"/>
      <c r="AS8" s="1136"/>
      <c r="AT8" s="1136"/>
      <c r="AU8" s="1136"/>
      <c r="AV8" s="1136"/>
      <c r="AW8" s="1136"/>
      <c r="AX8" s="1136"/>
      <c r="AY8" s="1136"/>
      <c r="AZ8" s="1136"/>
      <c r="BA8" s="1136"/>
      <c r="BB8" s="1136"/>
      <c r="BC8" s="1136"/>
      <c r="BD8" s="1136"/>
      <c r="BE8" s="1136"/>
      <c r="BF8" s="1136"/>
      <c r="BG8" s="1136"/>
      <c r="BH8" s="1136"/>
      <c r="BI8" s="1136"/>
      <c r="BJ8" s="1136"/>
      <c r="BK8" s="1136"/>
      <c r="BL8" s="1136"/>
      <c r="BM8" s="1136"/>
      <c r="BN8" s="1136"/>
      <c r="BO8" s="1136"/>
      <c r="BP8" s="1136"/>
      <c r="BQ8" s="1136"/>
      <c r="BR8" s="1136"/>
      <c r="BS8" s="1136"/>
      <c r="BT8" s="1136"/>
      <c r="BU8" s="1136"/>
      <c r="BV8" s="1136"/>
      <c r="BW8" s="1136"/>
      <c r="BX8" s="1136"/>
      <c r="BY8" s="1136"/>
      <c r="BZ8" s="1136"/>
      <c r="CA8" s="1136"/>
      <c r="CB8" s="1136"/>
      <c r="CC8" s="1136"/>
      <c r="CD8" s="1136"/>
      <c r="CE8" s="1136"/>
      <c r="CF8" s="1136"/>
      <c r="CG8" s="1136"/>
      <c r="CH8" s="1136"/>
      <c r="CI8" s="1136"/>
      <c r="CJ8" s="1136"/>
      <c r="CK8" s="1136"/>
      <c r="CL8" s="1136"/>
      <c r="CM8" s="1136"/>
      <c r="CN8" s="1136"/>
      <c r="CO8" s="1136"/>
      <c r="CP8" s="1136"/>
      <c r="CQ8" s="1136"/>
      <c r="CR8" s="1136"/>
      <c r="CS8" s="1136"/>
      <c r="CT8" s="1136"/>
      <c r="CU8" s="1136"/>
      <c r="CV8" s="1136"/>
      <c r="CW8" s="1136"/>
      <c r="CX8" s="1136"/>
      <c r="CY8" s="1136"/>
      <c r="CZ8" s="1136"/>
      <c r="DA8" s="1136"/>
      <c r="DB8" s="1136"/>
      <c r="DC8" s="1136"/>
      <c r="DD8" s="1136"/>
      <c r="DE8" s="1136"/>
      <c r="DF8" s="1136"/>
      <c r="DG8" s="1136"/>
      <c r="DH8" s="1136"/>
      <c r="DI8" s="1136"/>
      <c r="DJ8" s="1136"/>
      <c r="DK8" s="1136"/>
      <c r="DL8" s="1136"/>
      <c r="DM8" s="1136"/>
      <c r="DN8" s="1136"/>
      <c r="DO8" s="1136"/>
      <c r="DP8" s="1136"/>
      <c r="DQ8" s="1136"/>
      <c r="DR8" s="1136"/>
      <c r="DS8" s="1136"/>
      <c r="DT8" s="1136"/>
      <c r="DU8" s="1136"/>
      <c r="DV8" s="1136"/>
      <c r="DW8" s="1136"/>
      <c r="DX8" s="1136"/>
      <c r="DY8" s="1136"/>
      <c r="DZ8" s="1136"/>
      <c r="EA8" s="1136"/>
      <c r="EB8" s="1136"/>
      <c r="EC8" s="1136"/>
      <c r="ED8" s="1136"/>
      <c r="EE8" s="1136"/>
      <c r="EF8" s="1136"/>
      <c r="EG8" s="1136"/>
      <c r="EH8" s="1136"/>
      <c r="EI8" s="1136"/>
      <c r="EJ8" s="1136"/>
      <c r="EK8" s="1136"/>
      <c r="EL8" s="1136"/>
      <c r="EM8" s="1136"/>
      <c r="EN8" s="1136"/>
      <c r="EO8" s="1136"/>
      <c r="EP8" s="1136"/>
      <c r="EQ8" s="1136"/>
      <c r="ER8" s="1136"/>
      <c r="ES8" s="1136"/>
      <c r="ET8" s="1136"/>
      <c r="EU8" s="1136"/>
      <c r="EV8" s="1136"/>
      <c r="EW8" s="1136"/>
      <c r="EX8" s="1136"/>
      <c r="EY8" s="1136"/>
      <c r="EZ8" s="1136"/>
      <c r="FA8" s="1136"/>
      <c r="FB8" s="1136"/>
      <c r="FC8" s="1136"/>
      <c r="FD8" s="1136"/>
      <c r="FE8" s="1136"/>
      <c r="FF8" s="1136"/>
      <c r="FG8" s="1136"/>
      <c r="FH8" s="1136"/>
      <c r="FI8" s="1136"/>
      <c r="FJ8" s="1136"/>
      <c r="FK8" s="1136"/>
      <c r="FL8" s="1136"/>
      <c r="FM8" s="1136"/>
      <c r="FN8" s="1136"/>
      <c r="FO8" s="1136"/>
      <c r="FP8" s="1136"/>
      <c r="FQ8" s="1136"/>
      <c r="FR8" s="1136"/>
      <c r="FS8" s="1136"/>
      <c r="FT8" s="1136"/>
      <c r="FU8" s="1136"/>
      <c r="FV8" s="1136"/>
      <c r="FW8" s="1136"/>
      <c r="FX8" s="1136"/>
      <c r="FY8" s="1136"/>
      <c r="FZ8" s="1136"/>
      <c r="GA8" s="1136"/>
      <c r="GB8" s="1136"/>
      <c r="GC8" s="1136"/>
      <c r="GD8" s="1136"/>
      <c r="GE8" s="1136"/>
      <c r="GF8" s="1136"/>
      <c r="GG8" s="1136"/>
      <c r="GH8" s="1136"/>
      <c r="GI8" s="1136"/>
      <c r="GJ8" s="1136"/>
      <c r="GK8" s="1136"/>
      <c r="GL8" s="1136"/>
      <c r="GM8" s="1136"/>
      <c r="GN8" s="1136"/>
      <c r="GO8" s="1136"/>
      <c r="GP8" s="1136"/>
      <c r="GQ8" s="1136"/>
      <c r="GR8" s="1136"/>
      <c r="GS8" s="1136"/>
      <c r="GT8" s="1136"/>
      <c r="GU8" s="1136"/>
      <c r="GV8" s="1136"/>
      <c r="GW8" s="1136"/>
      <c r="GX8" s="1136"/>
      <c r="GY8" s="1136"/>
      <c r="GZ8" s="1136"/>
      <c r="HA8" s="1136"/>
      <c r="HB8" s="1136"/>
      <c r="HC8" s="1136"/>
      <c r="HD8" s="1136"/>
      <c r="HE8" s="1136"/>
      <c r="HF8" s="1136"/>
      <c r="HG8" s="1136"/>
      <c r="HH8" s="1136"/>
      <c r="HI8" s="1136"/>
      <c r="HJ8" s="1136"/>
      <c r="HK8" s="1136"/>
      <c r="HL8" s="1136"/>
      <c r="HM8" s="1136"/>
      <c r="HN8" s="1136"/>
      <c r="HO8" s="1136"/>
      <c r="HP8" s="1136"/>
      <c r="HQ8" s="1136"/>
      <c r="HR8" s="1136"/>
      <c r="HS8" s="1136"/>
      <c r="HT8" s="1136"/>
      <c r="HU8" s="1136"/>
      <c r="HV8" s="1136"/>
      <c r="HW8" s="1136"/>
      <c r="HX8" s="1136"/>
      <c r="HY8" s="1136"/>
      <c r="HZ8" s="1136"/>
      <c r="IA8" s="1136"/>
      <c r="IB8" s="1136"/>
      <c r="IC8" s="1136"/>
      <c r="ID8" s="1136"/>
      <c r="IE8" s="1136"/>
      <c r="IF8" s="1136"/>
      <c r="IG8" s="1136"/>
      <c r="IH8" s="1136"/>
      <c r="II8" s="1136"/>
      <c r="IJ8" s="1136"/>
      <c r="IK8" s="1136"/>
      <c r="IL8" s="1136"/>
      <c r="IM8" s="1136"/>
      <c r="IN8" s="1136"/>
      <c r="IO8" s="1136"/>
      <c r="IP8" s="1136"/>
      <c r="IQ8" s="1136"/>
      <c r="IR8" s="1136"/>
      <c r="IS8" s="1136"/>
      <c r="IT8" s="1136"/>
      <c r="IU8" s="1136"/>
      <c r="IV8" s="1136"/>
    </row>
    <row r="9" spans="1:256">
      <c r="B9" s="1138"/>
      <c r="C9" s="1138"/>
      <c r="D9" s="1138"/>
      <c r="E9" s="1138"/>
      <c r="F9" s="1138"/>
      <c r="G9" s="1138"/>
      <c r="H9" s="1138"/>
      <c r="I9" s="1138"/>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6"/>
      <c r="AK9" s="1136"/>
      <c r="AL9" s="1136"/>
      <c r="AM9" s="1136"/>
      <c r="AN9" s="1136"/>
      <c r="AO9" s="1136"/>
      <c r="AP9" s="1136"/>
      <c r="AQ9" s="1136"/>
      <c r="AR9" s="1136"/>
      <c r="AS9" s="1136"/>
      <c r="AT9" s="1136"/>
      <c r="AU9" s="1136"/>
      <c r="AV9" s="1136"/>
      <c r="AW9" s="1136"/>
      <c r="AX9" s="1136"/>
      <c r="AY9" s="1136"/>
      <c r="AZ9" s="1136"/>
      <c r="BA9" s="1136"/>
      <c r="BB9" s="1136"/>
      <c r="BC9" s="1136"/>
      <c r="BD9" s="1136"/>
      <c r="BE9" s="1136"/>
      <c r="BF9" s="1136"/>
      <c r="BG9" s="1136"/>
      <c r="BH9" s="1136"/>
      <c r="BI9" s="1136"/>
      <c r="BJ9" s="1136"/>
      <c r="BK9" s="1136"/>
      <c r="BL9" s="1136"/>
      <c r="BM9" s="1136"/>
      <c r="BN9" s="1136"/>
      <c r="BO9" s="1136"/>
      <c r="BP9" s="1136"/>
      <c r="BQ9" s="1136"/>
      <c r="BR9" s="1136"/>
      <c r="BS9" s="1136"/>
      <c r="BT9" s="1136"/>
      <c r="BU9" s="1136"/>
      <c r="BV9" s="1136"/>
      <c r="BW9" s="1136"/>
      <c r="BX9" s="1136"/>
      <c r="BY9" s="1136"/>
      <c r="BZ9" s="1136"/>
      <c r="CA9" s="1136"/>
      <c r="CB9" s="1136"/>
      <c r="CC9" s="1136"/>
      <c r="CD9" s="1136"/>
      <c r="CE9" s="1136"/>
      <c r="CF9" s="1136"/>
      <c r="CG9" s="1136"/>
      <c r="CH9" s="1136"/>
      <c r="CI9" s="1136"/>
      <c r="CJ9" s="1136"/>
      <c r="CK9" s="1136"/>
      <c r="CL9" s="1136"/>
      <c r="CM9" s="1136"/>
      <c r="CN9" s="1136"/>
      <c r="CO9" s="1136"/>
      <c r="CP9" s="1136"/>
      <c r="CQ9" s="1136"/>
      <c r="CR9" s="1136"/>
      <c r="CS9" s="1136"/>
      <c r="CT9" s="1136"/>
      <c r="CU9" s="1136"/>
      <c r="CV9" s="1136"/>
      <c r="CW9" s="1136"/>
      <c r="CX9" s="1136"/>
      <c r="CY9" s="1136"/>
      <c r="CZ9" s="1136"/>
      <c r="DA9" s="1136"/>
      <c r="DB9" s="1136"/>
      <c r="DC9" s="1136"/>
      <c r="DD9" s="1136"/>
      <c r="DE9" s="1136"/>
      <c r="DF9" s="1136"/>
      <c r="DG9" s="1136"/>
      <c r="DH9" s="1136"/>
      <c r="DI9" s="1136"/>
      <c r="DJ9" s="1136"/>
      <c r="DK9" s="1136"/>
      <c r="DL9" s="1136"/>
      <c r="DM9" s="1136"/>
      <c r="DN9" s="1136"/>
      <c r="DO9" s="1136"/>
      <c r="DP9" s="1136"/>
      <c r="DQ9" s="1136"/>
      <c r="DR9" s="1136"/>
      <c r="DS9" s="1136"/>
      <c r="DT9" s="1136"/>
      <c r="DU9" s="1136"/>
      <c r="DV9" s="1136"/>
      <c r="DW9" s="1136"/>
      <c r="DX9" s="1136"/>
      <c r="DY9" s="1136"/>
      <c r="DZ9" s="1136"/>
      <c r="EA9" s="1136"/>
      <c r="EB9" s="1136"/>
      <c r="EC9" s="1136"/>
      <c r="ED9" s="1136"/>
      <c r="EE9" s="1136"/>
      <c r="EF9" s="1136"/>
      <c r="EG9" s="1136"/>
      <c r="EH9" s="1136"/>
      <c r="EI9" s="1136"/>
      <c r="EJ9" s="1136"/>
      <c r="EK9" s="1136"/>
      <c r="EL9" s="1136"/>
      <c r="EM9" s="1136"/>
      <c r="EN9" s="1136"/>
      <c r="EO9" s="1136"/>
      <c r="EP9" s="1136"/>
      <c r="EQ9" s="1136"/>
      <c r="ER9" s="1136"/>
      <c r="ES9" s="1136"/>
      <c r="ET9" s="1136"/>
      <c r="EU9" s="1136"/>
      <c r="EV9" s="1136"/>
      <c r="EW9" s="1136"/>
      <c r="EX9" s="1136"/>
      <c r="EY9" s="1136"/>
      <c r="EZ9" s="1136"/>
      <c r="FA9" s="1136"/>
      <c r="FB9" s="1136"/>
      <c r="FC9" s="1136"/>
      <c r="FD9" s="1136"/>
      <c r="FE9" s="1136"/>
      <c r="FF9" s="1136"/>
      <c r="FG9" s="1136"/>
      <c r="FH9" s="1136"/>
      <c r="FI9" s="1136"/>
      <c r="FJ9" s="1136"/>
      <c r="FK9" s="1136"/>
      <c r="FL9" s="1136"/>
      <c r="FM9" s="1136"/>
      <c r="FN9" s="1136"/>
      <c r="FO9" s="1136"/>
      <c r="FP9" s="1136"/>
      <c r="FQ9" s="1136"/>
      <c r="FR9" s="1136"/>
      <c r="FS9" s="1136"/>
      <c r="FT9" s="1136"/>
      <c r="FU9" s="1136"/>
      <c r="FV9" s="1136"/>
      <c r="FW9" s="1136"/>
      <c r="FX9" s="1136"/>
      <c r="FY9" s="1136"/>
      <c r="FZ9" s="1136"/>
      <c r="GA9" s="1136"/>
      <c r="GB9" s="1136"/>
      <c r="GC9" s="1136"/>
      <c r="GD9" s="1136"/>
      <c r="GE9" s="1136"/>
      <c r="GF9" s="1136"/>
      <c r="GG9" s="1136"/>
      <c r="GH9" s="1136"/>
      <c r="GI9" s="1136"/>
      <c r="GJ9" s="1136"/>
      <c r="GK9" s="1136"/>
      <c r="GL9" s="1136"/>
      <c r="GM9" s="1136"/>
      <c r="GN9" s="1136"/>
      <c r="GO9" s="1136"/>
      <c r="GP9" s="1136"/>
      <c r="GQ9" s="1136"/>
      <c r="GR9" s="1136"/>
      <c r="GS9" s="1136"/>
      <c r="GT9" s="1136"/>
      <c r="GU9" s="1136"/>
      <c r="GV9" s="1136"/>
      <c r="GW9" s="1136"/>
      <c r="GX9" s="1136"/>
      <c r="GY9" s="1136"/>
      <c r="GZ9" s="1136"/>
      <c r="HA9" s="1136"/>
      <c r="HB9" s="1136"/>
      <c r="HC9" s="1136"/>
      <c r="HD9" s="1136"/>
      <c r="HE9" s="1136"/>
      <c r="HF9" s="1136"/>
      <c r="HG9" s="1136"/>
      <c r="HH9" s="1136"/>
      <c r="HI9" s="1136"/>
      <c r="HJ9" s="1136"/>
      <c r="HK9" s="1136"/>
      <c r="HL9" s="1136"/>
      <c r="HM9" s="1136"/>
      <c r="HN9" s="1136"/>
      <c r="HO9" s="1136"/>
      <c r="HP9" s="1136"/>
      <c r="HQ9" s="1136"/>
      <c r="HR9" s="1136"/>
      <c r="HS9" s="1136"/>
      <c r="HT9" s="1136"/>
      <c r="HU9" s="1136"/>
      <c r="HV9" s="1136"/>
      <c r="HW9" s="1136"/>
      <c r="HX9" s="1136"/>
      <c r="HY9" s="1136"/>
      <c r="HZ9" s="1136"/>
      <c r="IA9" s="1136"/>
      <c r="IB9" s="1136"/>
      <c r="IC9" s="1136"/>
      <c r="ID9" s="1136"/>
      <c r="IE9" s="1136"/>
      <c r="IF9" s="1136"/>
      <c r="IG9" s="1136"/>
      <c r="IH9" s="1136"/>
      <c r="II9" s="1136"/>
      <c r="IJ9" s="1136"/>
      <c r="IK9" s="1136"/>
      <c r="IL9" s="1136"/>
      <c r="IM9" s="1136"/>
      <c r="IN9" s="1136"/>
      <c r="IO9" s="1136"/>
      <c r="IP9" s="1136"/>
      <c r="IQ9" s="1136"/>
      <c r="IR9" s="1136"/>
      <c r="IS9" s="1136"/>
      <c r="IT9" s="1136"/>
      <c r="IU9" s="1136"/>
      <c r="IV9" s="1136"/>
    </row>
    <row r="10" spans="1:256">
      <c r="A10" s="1139" t="s">
        <v>873</v>
      </c>
      <c r="B10" s="1138"/>
      <c r="C10" s="1136"/>
      <c r="D10" s="1138"/>
      <c r="E10" s="2462" t="s">
        <v>347</v>
      </c>
      <c r="F10" s="2462"/>
      <c r="G10" s="1138"/>
      <c r="H10" s="1138"/>
      <c r="I10" s="1138"/>
      <c r="J10" s="1136"/>
      <c r="K10" s="1136"/>
      <c r="L10" s="1136"/>
      <c r="M10" s="1136"/>
      <c r="N10" s="1136"/>
      <c r="O10" s="1136"/>
      <c r="P10" s="1136"/>
      <c r="Q10" s="1136"/>
      <c r="R10" s="1136"/>
      <c r="S10" s="1136"/>
      <c r="T10" s="1136"/>
      <c r="U10" s="1136"/>
      <c r="V10" s="1136"/>
      <c r="W10" s="1136"/>
      <c r="X10" s="1136"/>
      <c r="Y10" s="1136"/>
      <c r="Z10" s="1136"/>
      <c r="AA10" s="1136"/>
      <c r="AB10" s="1136"/>
      <c r="AC10" s="1136"/>
      <c r="AD10" s="1136"/>
      <c r="AE10" s="1136"/>
      <c r="AF10" s="1136"/>
      <c r="AG10" s="1136"/>
      <c r="AH10" s="1136"/>
      <c r="AI10" s="1136"/>
      <c r="AJ10" s="1136"/>
      <c r="AK10" s="1136"/>
      <c r="AL10" s="1136"/>
      <c r="AM10" s="1136"/>
      <c r="AN10" s="1136"/>
      <c r="AO10" s="1136"/>
      <c r="AP10" s="1136"/>
      <c r="AQ10" s="1136"/>
      <c r="AR10" s="1136"/>
      <c r="AS10" s="1136"/>
      <c r="AT10" s="1136"/>
      <c r="AU10" s="1136"/>
      <c r="AV10" s="1136"/>
      <c r="AW10" s="1136"/>
      <c r="AX10" s="1136"/>
      <c r="AY10" s="1136"/>
      <c r="AZ10" s="1136"/>
      <c r="BA10" s="1136"/>
      <c r="BB10" s="1136"/>
      <c r="BC10" s="1136"/>
      <c r="BD10" s="1136"/>
      <c r="BE10" s="1136"/>
      <c r="BF10" s="1136"/>
      <c r="BG10" s="1136"/>
      <c r="BH10" s="1136"/>
      <c r="BI10" s="1136"/>
      <c r="BJ10" s="1136"/>
      <c r="BK10" s="1136"/>
      <c r="BL10" s="1136"/>
      <c r="BM10" s="1136"/>
      <c r="BN10" s="1136"/>
      <c r="BO10" s="1136"/>
      <c r="BP10" s="1136"/>
      <c r="BQ10" s="1136"/>
      <c r="BR10" s="1136"/>
      <c r="BS10" s="1136"/>
      <c r="BT10" s="1136"/>
      <c r="BU10" s="1136"/>
      <c r="BV10" s="1136"/>
      <c r="BW10" s="1136"/>
      <c r="BX10" s="1136"/>
      <c r="BY10" s="1136"/>
      <c r="BZ10" s="1136"/>
      <c r="CA10" s="1136"/>
      <c r="CB10" s="1136"/>
      <c r="CC10" s="1136"/>
      <c r="CD10" s="1136"/>
      <c r="CE10" s="1136"/>
      <c r="CF10" s="1136"/>
      <c r="CG10" s="1136"/>
      <c r="CH10" s="1136"/>
      <c r="CI10" s="1136"/>
      <c r="CJ10" s="1136"/>
      <c r="CK10" s="1136"/>
      <c r="CL10" s="1136"/>
      <c r="CM10" s="1136"/>
      <c r="CN10" s="1136"/>
      <c r="CO10" s="1136"/>
      <c r="CP10" s="1136"/>
      <c r="CQ10" s="1136"/>
      <c r="CR10" s="1136"/>
      <c r="CS10" s="1136"/>
      <c r="CT10" s="1136"/>
      <c r="CU10" s="1136"/>
      <c r="CV10" s="1136"/>
      <c r="CW10" s="1136"/>
      <c r="CX10" s="1136"/>
      <c r="CY10" s="1136"/>
      <c r="CZ10" s="1136"/>
      <c r="DA10" s="1136"/>
      <c r="DB10" s="1136"/>
      <c r="DC10" s="1136"/>
      <c r="DD10" s="1136"/>
      <c r="DE10" s="1136"/>
      <c r="DF10" s="1136"/>
      <c r="DG10" s="1136"/>
      <c r="DH10" s="1136"/>
      <c r="DI10" s="1136"/>
      <c r="DJ10" s="1136"/>
      <c r="DK10" s="1136"/>
      <c r="DL10" s="1136"/>
      <c r="DM10" s="1136"/>
      <c r="DN10" s="1136"/>
      <c r="DO10" s="1136"/>
      <c r="DP10" s="1136"/>
      <c r="DQ10" s="1136"/>
      <c r="DR10" s="1136"/>
      <c r="DS10" s="1136"/>
      <c r="DT10" s="1136"/>
      <c r="DU10" s="1136"/>
      <c r="DV10" s="1136"/>
      <c r="DW10" s="1136"/>
      <c r="DX10" s="1136"/>
      <c r="DY10" s="1136"/>
      <c r="DZ10" s="1136"/>
      <c r="EA10" s="1136"/>
      <c r="EB10" s="1136"/>
      <c r="EC10" s="1136"/>
      <c r="ED10" s="1136"/>
      <c r="EE10" s="1136"/>
      <c r="EF10" s="1136"/>
      <c r="EG10" s="1136"/>
      <c r="EH10" s="1136"/>
      <c r="EI10" s="1136"/>
      <c r="EJ10" s="1136"/>
      <c r="EK10" s="1136"/>
      <c r="EL10" s="1136"/>
      <c r="EM10" s="1136"/>
      <c r="EN10" s="1136"/>
      <c r="EO10" s="1136"/>
      <c r="EP10" s="1136"/>
      <c r="EQ10" s="1136"/>
      <c r="ER10" s="1136"/>
      <c r="ES10" s="1136"/>
      <c r="ET10" s="1136"/>
      <c r="EU10" s="1136"/>
      <c r="EV10" s="1136"/>
      <c r="EW10" s="1136"/>
      <c r="EX10" s="1136"/>
      <c r="EY10" s="1136"/>
      <c r="EZ10" s="1136"/>
      <c r="FA10" s="1136"/>
      <c r="FB10" s="1136"/>
      <c r="FC10" s="1136"/>
      <c r="FD10" s="1136"/>
      <c r="FE10" s="1136"/>
      <c r="FF10" s="1136"/>
      <c r="FG10" s="1136"/>
      <c r="FH10" s="1136"/>
      <c r="FI10" s="1136"/>
      <c r="FJ10" s="1136"/>
      <c r="FK10" s="1136"/>
      <c r="FL10" s="1136"/>
      <c r="FM10" s="1136"/>
      <c r="FN10" s="1136"/>
      <c r="FO10" s="1136"/>
      <c r="FP10" s="1136"/>
      <c r="FQ10" s="1136"/>
      <c r="FR10" s="1136"/>
      <c r="FS10" s="1136"/>
      <c r="FT10" s="1136"/>
      <c r="FU10" s="1136"/>
      <c r="FV10" s="1136"/>
      <c r="FW10" s="1136"/>
      <c r="FX10" s="1136"/>
      <c r="FY10" s="1136"/>
      <c r="FZ10" s="1136"/>
      <c r="GA10" s="1136"/>
      <c r="GB10" s="1136"/>
      <c r="GC10" s="1136"/>
      <c r="GD10" s="1136"/>
      <c r="GE10" s="1136"/>
      <c r="GF10" s="1136"/>
      <c r="GG10" s="1136"/>
      <c r="GH10" s="1136"/>
      <c r="GI10" s="1136"/>
      <c r="GJ10" s="1136"/>
      <c r="GK10" s="1136"/>
      <c r="GL10" s="1136"/>
      <c r="GM10" s="1136"/>
      <c r="GN10" s="1136"/>
      <c r="GO10" s="1136"/>
      <c r="GP10" s="1136"/>
      <c r="GQ10" s="1136"/>
      <c r="GR10" s="1136"/>
      <c r="GS10" s="1136"/>
      <c r="GT10" s="1136"/>
      <c r="GU10" s="1136"/>
      <c r="GV10" s="1136"/>
      <c r="GW10" s="1136"/>
      <c r="GX10" s="1136"/>
      <c r="GY10" s="1136"/>
      <c r="GZ10" s="1136"/>
      <c r="HA10" s="1136"/>
      <c r="HB10" s="1136"/>
      <c r="HC10" s="1136"/>
      <c r="HD10" s="1136"/>
      <c r="HE10" s="1136"/>
      <c r="HF10" s="1136"/>
      <c r="HG10" s="1136"/>
      <c r="HH10" s="1136"/>
      <c r="HI10" s="1136"/>
      <c r="HJ10" s="1136"/>
      <c r="HK10" s="1136"/>
      <c r="HL10" s="1136"/>
      <c r="HM10" s="1136"/>
      <c r="HN10" s="1136"/>
      <c r="HO10" s="1136"/>
      <c r="HP10" s="1136"/>
      <c r="HQ10" s="1136"/>
      <c r="HR10" s="1136"/>
      <c r="HS10" s="1136"/>
      <c r="HT10" s="1136"/>
      <c r="HU10" s="1136"/>
      <c r="HV10" s="1136"/>
      <c r="HW10" s="1136"/>
      <c r="HX10" s="1136"/>
      <c r="HY10" s="1136"/>
      <c r="HZ10" s="1136"/>
      <c r="IA10" s="1136"/>
      <c r="IB10" s="1136"/>
      <c r="IC10" s="1136"/>
      <c r="ID10" s="1136"/>
      <c r="IE10" s="1136"/>
      <c r="IF10" s="1136"/>
      <c r="IG10" s="1136"/>
      <c r="IH10" s="1136"/>
      <c r="II10" s="1136"/>
      <c r="IJ10" s="1136"/>
      <c r="IK10" s="1136"/>
      <c r="IL10" s="1136"/>
      <c r="IM10" s="1136"/>
      <c r="IN10" s="1136"/>
      <c r="IO10" s="1136"/>
      <c r="IP10" s="1136"/>
      <c r="IQ10" s="1136"/>
      <c r="IR10" s="1136"/>
      <c r="IS10" s="1136"/>
      <c r="IT10" s="1136"/>
      <c r="IU10" s="1136"/>
      <c r="IV10" s="1136"/>
    </row>
    <row r="11" spans="1:256">
      <c r="A11" s="1140">
        <v>1</v>
      </c>
      <c r="B11" s="1141" t="s">
        <v>1340</v>
      </c>
      <c r="C11" s="1142"/>
      <c r="D11" s="1142"/>
      <c r="E11" s="1142" t="s">
        <v>526</v>
      </c>
      <c r="F11" s="1138"/>
      <c r="G11" s="1136"/>
      <c r="H11" s="964">
        <f>+'PSO WS C-1 ADIT EOY'!H52*0</f>
        <v>0</v>
      </c>
      <c r="I11" s="1138"/>
      <c r="J11" s="1136"/>
      <c r="K11" s="1136"/>
      <c r="L11" s="1136"/>
      <c r="M11" s="1136"/>
      <c r="N11" s="1136"/>
      <c r="O11" s="1136"/>
      <c r="P11" s="1136"/>
      <c r="Q11" s="1136"/>
      <c r="R11" s="1136"/>
      <c r="S11" s="1136"/>
      <c r="T11" s="1136"/>
      <c r="U11" s="1136"/>
      <c r="V11" s="1136"/>
      <c r="W11" s="1136"/>
      <c r="X11" s="1136"/>
      <c r="Y11" s="1136"/>
      <c r="Z11" s="1136"/>
      <c r="AA11" s="1136"/>
      <c r="AB11" s="1136"/>
      <c r="AC11" s="1136"/>
      <c r="AD11" s="1136"/>
      <c r="AE11" s="1136"/>
      <c r="AF11" s="1136"/>
      <c r="AG11" s="1136"/>
      <c r="AH11" s="1136"/>
      <c r="AI11" s="1136"/>
      <c r="AJ11" s="1136"/>
      <c r="AK11" s="1136"/>
      <c r="AL11" s="1136"/>
      <c r="AM11" s="1136"/>
      <c r="AN11" s="1136"/>
      <c r="AO11" s="1136"/>
      <c r="AP11" s="1136"/>
      <c r="AQ11" s="1136"/>
      <c r="AR11" s="1136"/>
      <c r="AS11" s="1136"/>
      <c r="AT11" s="1136"/>
      <c r="AU11" s="1136"/>
      <c r="AV11" s="1136"/>
      <c r="AW11" s="1136"/>
      <c r="AX11" s="1136"/>
      <c r="AY11" s="1136"/>
      <c r="AZ11" s="1136"/>
      <c r="BA11" s="1136"/>
      <c r="BB11" s="1136"/>
      <c r="BC11" s="1136"/>
      <c r="BD11" s="1136"/>
      <c r="BE11" s="1136"/>
      <c r="BF11" s="1136"/>
      <c r="BG11" s="1136"/>
      <c r="BH11" s="1136"/>
      <c r="BI11" s="1136"/>
      <c r="BJ11" s="1136"/>
      <c r="BK11" s="1136"/>
      <c r="BL11" s="1136"/>
      <c r="BM11" s="1136"/>
      <c r="BN11" s="1136"/>
      <c r="BO11" s="1136"/>
      <c r="BP11" s="1136"/>
      <c r="BQ11" s="1136"/>
      <c r="BR11" s="1136"/>
      <c r="BS11" s="1136"/>
      <c r="BT11" s="1136"/>
      <c r="BU11" s="1136"/>
      <c r="BV11" s="1136"/>
      <c r="BW11" s="1136"/>
      <c r="BX11" s="1136"/>
      <c r="BY11" s="1136"/>
      <c r="BZ11" s="1136"/>
      <c r="CA11" s="1136"/>
      <c r="CB11" s="1136"/>
      <c r="CC11" s="1136"/>
      <c r="CD11" s="1136"/>
      <c r="CE11" s="1136"/>
      <c r="CF11" s="1136"/>
      <c r="CG11" s="1136"/>
      <c r="CH11" s="1136"/>
      <c r="CI11" s="1136"/>
      <c r="CJ11" s="1136"/>
      <c r="CK11" s="1136"/>
      <c r="CL11" s="1136"/>
      <c r="CM11" s="1136"/>
      <c r="CN11" s="1136"/>
      <c r="CO11" s="1136"/>
      <c r="CP11" s="1136"/>
      <c r="CQ11" s="1136"/>
      <c r="CR11" s="1136"/>
      <c r="CS11" s="1136"/>
      <c r="CT11" s="1136"/>
      <c r="CU11" s="1136"/>
      <c r="CV11" s="1136"/>
      <c r="CW11" s="1136"/>
      <c r="CX11" s="1136"/>
      <c r="CY11" s="1136"/>
      <c r="CZ11" s="1136"/>
      <c r="DA11" s="1136"/>
      <c r="DB11" s="1136"/>
      <c r="DC11" s="1136"/>
      <c r="DD11" s="1136"/>
      <c r="DE11" s="1136"/>
      <c r="DF11" s="1136"/>
      <c r="DG11" s="1136"/>
      <c r="DH11" s="1136"/>
      <c r="DI11" s="1136"/>
      <c r="DJ11" s="1136"/>
      <c r="DK11" s="1136"/>
      <c r="DL11" s="1136"/>
      <c r="DM11" s="1136"/>
      <c r="DN11" s="1136"/>
      <c r="DO11" s="1136"/>
      <c r="DP11" s="1136"/>
      <c r="DQ11" s="1136"/>
      <c r="DR11" s="1136"/>
      <c r="DS11" s="1136"/>
      <c r="DT11" s="1136"/>
      <c r="DU11" s="1136"/>
      <c r="DV11" s="1136"/>
      <c r="DW11" s="1136"/>
      <c r="DX11" s="1136"/>
      <c r="DY11" s="1136"/>
      <c r="DZ11" s="1136"/>
      <c r="EA11" s="1136"/>
      <c r="EB11" s="1136"/>
      <c r="EC11" s="1136"/>
      <c r="ED11" s="1136"/>
      <c r="EE11" s="1136"/>
      <c r="EF11" s="1136"/>
      <c r="EG11" s="1136"/>
      <c r="EH11" s="1136"/>
      <c r="EI11" s="1136"/>
      <c r="EJ11" s="1136"/>
      <c r="EK11" s="1136"/>
      <c r="EL11" s="1136"/>
      <c r="EM11" s="1136"/>
      <c r="EN11" s="1136"/>
      <c r="EO11" s="1136"/>
      <c r="EP11" s="1136"/>
      <c r="EQ11" s="1136"/>
      <c r="ER11" s="1136"/>
      <c r="ES11" s="1136"/>
      <c r="ET11" s="1136"/>
      <c r="EU11" s="1136"/>
      <c r="EV11" s="1136"/>
      <c r="EW11" s="1136"/>
      <c r="EX11" s="1136"/>
      <c r="EY11" s="1136"/>
      <c r="EZ11" s="1136"/>
      <c r="FA11" s="1136"/>
      <c r="FB11" s="1136"/>
      <c r="FC11" s="1136"/>
      <c r="FD11" s="1136"/>
      <c r="FE11" s="1136"/>
      <c r="FF11" s="1136"/>
      <c r="FG11" s="1136"/>
      <c r="FH11" s="1136"/>
      <c r="FI11" s="1136"/>
      <c r="FJ11" s="1136"/>
      <c r="FK11" s="1136"/>
      <c r="FL11" s="1136"/>
      <c r="FM11" s="1136"/>
      <c r="FN11" s="1136"/>
      <c r="FO11" s="1136"/>
      <c r="FP11" s="1136"/>
      <c r="FQ11" s="1136"/>
      <c r="FR11" s="1136"/>
      <c r="FS11" s="1136"/>
      <c r="FT11" s="1136"/>
      <c r="FU11" s="1136"/>
      <c r="FV11" s="1136"/>
      <c r="FW11" s="1136"/>
      <c r="FX11" s="1136"/>
      <c r="FY11" s="1136"/>
      <c r="FZ11" s="1136"/>
      <c r="GA11" s="1136"/>
      <c r="GB11" s="1136"/>
      <c r="GC11" s="1136"/>
      <c r="GD11" s="1136"/>
      <c r="GE11" s="1136"/>
      <c r="GF11" s="1136"/>
      <c r="GG11" s="1136"/>
      <c r="GH11" s="1136"/>
      <c r="GI11" s="1136"/>
      <c r="GJ11" s="1136"/>
      <c r="GK11" s="1136"/>
      <c r="GL11" s="1136"/>
      <c r="GM11" s="1136"/>
      <c r="GN11" s="1136"/>
      <c r="GO11" s="1136"/>
      <c r="GP11" s="1136"/>
      <c r="GQ11" s="1136"/>
      <c r="GR11" s="1136"/>
      <c r="GS11" s="1136"/>
      <c r="GT11" s="1136"/>
      <c r="GU11" s="1136"/>
      <c r="GV11" s="1136"/>
      <c r="GW11" s="1136"/>
      <c r="GX11" s="1136"/>
      <c r="GY11" s="1136"/>
      <c r="GZ11" s="1136"/>
      <c r="HA11" s="1136"/>
      <c r="HB11" s="1136"/>
      <c r="HC11" s="1136"/>
      <c r="HD11" s="1136"/>
      <c r="HE11" s="1136"/>
      <c r="HF11" s="1136"/>
      <c r="HG11" s="1136"/>
      <c r="HH11" s="1136"/>
      <c r="HI11" s="1136"/>
      <c r="HJ11" s="1136"/>
      <c r="HK11" s="1136"/>
      <c r="HL11" s="1136"/>
      <c r="HM11" s="1136"/>
      <c r="HN11" s="1136"/>
      <c r="HO11" s="1136"/>
      <c r="HP11" s="1136"/>
      <c r="HQ11" s="1136"/>
      <c r="HR11" s="1136"/>
      <c r="HS11" s="1136"/>
      <c r="HT11" s="1136"/>
      <c r="HU11" s="1136"/>
      <c r="HV11" s="1136"/>
      <c r="HW11" s="1136"/>
      <c r="HX11" s="1136"/>
      <c r="HY11" s="1136"/>
      <c r="HZ11" s="1136"/>
      <c r="IA11" s="1136"/>
      <c r="IB11" s="1136"/>
      <c r="IC11" s="1136"/>
      <c r="ID11" s="1136"/>
      <c r="IE11" s="1136"/>
      <c r="IF11" s="1136"/>
      <c r="IG11" s="1136"/>
      <c r="IH11" s="1136"/>
      <c r="II11" s="1136"/>
      <c r="IJ11" s="1136"/>
      <c r="IK11" s="1136"/>
      <c r="IL11" s="1136"/>
      <c r="IM11" s="1136"/>
      <c r="IN11" s="1136"/>
      <c r="IO11" s="1136"/>
      <c r="IP11" s="1136"/>
      <c r="IQ11" s="1136"/>
      <c r="IR11" s="1136"/>
      <c r="IS11" s="1136"/>
      <c r="IT11" s="1136"/>
      <c r="IU11" s="1136"/>
      <c r="IV11" s="1136"/>
    </row>
    <row r="12" spans="1:256">
      <c r="A12" s="1140">
        <f>+A11+1</f>
        <v>2</v>
      </c>
      <c r="B12" s="1141" t="s">
        <v>1341</v>
      </c>
      <c r="C12" s="1142"/>
      <c r="D12" s="1142"/>
      <c r="E12" s="1142" t="s">
        <v>527</v>
      </c>
      <c r="F12" s="1138"/>
      <c r="G12" s="1136"/>
      <c r="H12" s="964">
        <f>+'PSO WS C-2 ADIT BOY'!H50*0</f>
        <v>0</v>
      </c>
      <c r="I12" s="1138"/>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6"/>
      <c r="AK12" s="1136"/>
      <c r="AL12" s="1136"/>
      <c r="AM12" s="1136"/>
      <c r="AN12" s="1136"/>
      <c r="AO12" s="1136"/>
      <c r="AP12" s="1136"/>
      <c r="AQ12" s="1136"/>
      <c r="AR12" s="1136"/>
      <c r="AS12" s="1136"/>
      <c r="AT12" s="1136"/>
      <c r="AU12" s="1136"/>
      <c r="AV12" s="1136"/>
      <c r="AW12" s="1136"/>
      <c r="AX12" s="1136"/>
      <c r="AY12" s="1136"/>
      <c r="AZ12" s="1136"/>
      <c r="BA12" s="1136"/>
      <c r="BB12" s="1136"/>
      <c r="BC12" s="1136"/>
      <c r="BD12" s="1136"/>
      <c r="BE12" s="1136"/>
      <c r="BF12" s="1136"/>
      <c r="BG12" s="1136"/>
      <c r="BH12" s="1136"/>
      <c r="BI12" s="1136"/>
      <c r="BJ12" s="1136"/>
      <c r="BK12" s="1136"/>
      <c r="BL12" s="1136"/>
      <c r="BM12" s="1136"/>
      <c r="BN12" s="1136"/>
      <c r="BO12" s="1136"/>
      <c r="BP12" s="1136"/>
      <c r="BQ12" s="1136"/>
      <c r="BR12" s="1136"/>
      <c r="BS12" s="1136"/>
      <c r="BT12" s="1136"/>
      <c r="BU12" s="1136"/>
      <c r="BV12" s="1136"/>
      <c r="BW12" s="1136"/>
      <c r="BX12" s="1136"/>
      <c r="BY12" s="1136"/>
      <c r="BZ12" s="1136"/>
      <c r="CA12" s="1136"/>
      <c r="CB12" s="1136"/>
      <c r="CC12" s="1136"/>
      <c r="CD12" s="1136"/>
      <c r="CE12" s="1136"/>
      <c r="CF12" s="1136"/>
      <c r="CG12" s="1136"/>
      <c r="CH12" s="1136"/>
      <c r="CI12" s="1136"/>
      <c r="CJ12" s="1136"/>
      <c r="CK12" s="1136"/>
      <c r="CL12" s="1136"/>
      <c r="CM12" s="1136"/>
      <c r="CN12" s="1136"/>
      <c r="CO12" s="1136"/>
      <c r="CP12" s="1136"/>
      <c r="CQ12" s="1136"/>
      <c r="CR12" s="1136"/>
      <c r="CS12" s="1136"/>
      <c r="CT12" s="1136"/>
      <c r="CU12" s="1136"/>
      <c r="CV12" s="1136"/>
      <c r="CW12" s="1136"/>
      <c r="CX12" s="1136"/>
      <c r="CY12" s="1136"/>
      <c r="CZ12" s="1136"/>
      <c r="DA12" s="1136"/>
      <c r="DB12" s="1136"/>
      <c r="DC12" s="1136"/>
      <c r="DD12" s="1136"/>
      <c r="DE12" s="1136"/>
      <c r="DF12" s="1136"/>
      <c r="DG12" s="1136"/>
      <c r="DH12" s="1136"/>
      <c r="DI12" s="1136"/>
      <c r="DJ12" s="1136"/>
      <c r="DK12" s="1136"/>
      <c r="DL12" s="1136"/>
      <c r="DM12" s="1136"/>
      <c r="DN12" s="1136"/>
      <c r="DO12" s="1136"/>
      <c r="DP12" s="1136"/>
      <c r="DQ12" s="1136"/>
      <c r="DR12" s="1136"/>
      <c r="DS12" s="1136"/>
      <c r="DT12" s="1136"/>
      <c r="DU12" s="1136"/>
      <c r="DV12" s="1136"/>
      <c r="DW12" s="1136"/>
      <c r="DX12" s="1136"/>
      <c r="DY12" s="1136"/>
      <c r="DZ12" s="1136"/>
      <c r="EA12" s="1136"/>
      <c r="EB12" s="1136"/>
      <c r="EC12" s="1136"/>
      <c r="ED12" s="1136"/>
      <c r="EE12" s="1136"/>
      <c r="EF12" s="1136"/>
      <c r="EG12" s="1136"/>
      <c r="EH12" s="1136"/>
      <c r="EI12" s="1136"/>
      <c r="EJ12" s="1136"/>
      <c r="EK12" s="1136"/>
      <c r="EL12" s="1136"/>
      <c r="EM12" s="1136"/>
      <c r="EN12" s="1136"/>
      <c r="EO12" s="1136"/>
      <c r="EP12" s="1136"/>
      <c r="EQ12" s="1136"/>
      <c r="ER12" s="1136"/>
      <c r="ES12" s="1136"/>
      <c r="ET12" s="1136"/>
      <c r="EU12" s="1136"/>
      <c r="EV12" s="1136"/>
      <c r="EW12" s="1136"/>
      <c r="EX12" s="1136"/>
      <c r="EY12" s="1136"/>
      <c r="EZ12" s="1136"/>
      <c r="FA12" s="1136"/>
      <c r="FB12" s="1136"/>
      <c r="FC12" s="1136"/>
      <c r="FD12" s="1136"/>
      <c r="FE12" s="1136"/>
      <c r="FF12" s="1136"/>
      <c r="FG12" s="1136"/>
      <c r="FH12" s="1136"/>
      <c r="FI12" s="1136"/>
      <c r="FJ12" s="1136"/>
      <c r="FK12" s="1136"/>
      <c r="FL12" s="1136"/>
      <c r="FM12" s="1136"/>
      <c r="FN12" s="1136"/>
      <c r="FO12" s="1136"/>
      <c r="FP12" s="1136"/>
      <c r="FQ12" s="1136"/>
      <c r="FR12" s="1136"/>
      <c r="FS12" s="1136"/>
      <c r="FT12" s="1136"/>
      <c r="FU12" s="1136"/>
      <c r="FV12" s="1136"/>
      <c r="FW12" s="1136"/>
      <c r="FX12" s="1136"/>
      <c r="FY12" s="1136"/>
      <c r="FZ12" s="1136"/>
      <c r="GA12" s="1136"/>
      <c r="GB12" s="1136"/>
      <c r="GC12" s="1136"/>
      <c r="GD12" s="1136"/>
      <c r="GE12" s="1136"/>
      <c r="GF12" s="1136"/>
      <c r="GG12" s="1136"/>
      <c r="GH12" s="1136"/>
      <c r="GI12" s="1136"/>
      <c r="GJ12" s="1136"/>
      <c r="GK12" s="1136"/>
      <c r="GL12" s="1136"/>
      <c r="GM12" s="1136"/>
      <c r="GN12" s="1136"/>
      <c r="GO12" s="1136"/>
      <c r="GP12" s="1136"/>
      <c r="GQ12" s="1136"/>
      <c r="GR12" s="1136"/>
      <c r="GS12" s="1136"/>
      <c r="GT12" s="1136"/>
      <c r="GU12" s="1136"/>
      <c r="GV12" s="1136"/>
      <c r="GW12" s="1136"/>
      <c r="GX12" s="1136"/>
      <c r="GY12" s="1136"/>
      <c r="GZ12" s="1136"/>
      <c r="HA12" s="1136"/>
      <c r="HB12" s="1136"/>
      <c r="HC12" s="1136"/>
      <c r="HD12" s="1136"/>
      <c r="HE12" s="1136"/>
      <c r="HF12" s="1136"/>
      <c r="HG12" s="1136"/>
      <c r="HH12" s="1136"/>
      <c r="HI12" s="1136"/>
      <c r="HJ12" s="1136"/>
      <c r="HK12" s="1136"/>
      <c r="HL12" s="1136"/>
      <c r="HM12" s="1136"/>
      <c r="HN12" s="1136"/>
      <c r="HO12" s="1136"/>
      <c r="HP12" s="1136"/>
      <c r="HQ12" s="1136"/>
      <c r="HR12" s="1136"/>
      <c r="HS12" s="1136"/>
      <c r="HT12" s="1136"/>
      <c r="HU12" s="1136"/>
      <c r="HV12" s="1136"/>
      <c r="HW12" s="1136"/>
      <c r="HX12" s="1136"/>
      <c r="HY12" s="1136"/>
      <c r="HZ12" s="1136"/>
      <c r="IA12" s="1136"/>
      <c r="IB12" s="1136"/>
      <c r="IC12" s="1136"/>
      <c r="ID12" s="1136"/>
      <c r="IE12" s="1136"/>
      <c r="IF12" s="1136"/>
      <c r="IG12" s="1136"/>
      <c r="IH12" s="1136"/>
      <c r="II12" s="1136"/>
      <c r="IJ12" s="1136"/>
      <c r="IK12" s="1136"/>
      <c r="IL12" s="1136"/>
      <c r="IM12" s="1136"/>
      <c r="IN12" s="1136"/>
      <c r="IO12" s="1136"/>
      <c r="IP12" s="1136"/>
      <c r="IQ12" s="1136"/>
      <c r="IR12" s="1136"/>
      <c r="IS12" s="1136"/>
      <c r="IT12" s="1136"/>
      <c r="IU12" s="1136"/>
      <c r="IV12" s="1136"/>
    </row>
    <row r="13" spans="1:256">
      <c r="A13" s="1140">
        <f>+A12+1</f>
        <v>3</v>
      </c>
      <c r="B13" s="1142" t="s">
        <v>510</v>
      </c>
      <c r="C13" s="1142"/>
      <c r="D13" s="1142"/>
      <c r="E13" s="1142" t="str">
        <f>"Line "&amp;A11&amp;" less Line "&amp;A12</f>
        <v>Line 1 less Line 2</v>
      </c>
      <c r="F13" s="1138"/>
      <c r="G13" s="1136"/>
      <c r="H13" s="1143">
        <f>+H11-H12</f>
        <v>0</v>
      </c>
      <c r="I13" s="1138"/>
      <c r="J13" s="1136"/>
      <c r="K13" s="1136"/>
      <c r="L13" s="1136"/>
      <c r="M13" s="1136"/>
      <c r="N13" s="1136"/>
      <c r="O13" s="1136"/>
      <c r="P13" s="1136"/>
      <c r="Q13" s="1136"/>
      <c r="R13" s="1136"/>
      <c r="S13" s="1136"/>
      <c r="T13" s="1136"/>
      <c r="U13" s="1136"/>
      <c r="V13" s="1136"/>
      <c r="W13" s="1136"/>
      <c r="X13" s="1136"/>
      <c r="Y13" s="1136"/>
      <c r="Z13" s="1136"/>
      <c r="AA13" s="1136"/>
      <c r="AB13" s="1136"/>
      <c r="AC13" s="1136"/>
      <c r="AD13" s="1136"/>
      <c r="AE13" s="1136"/>
      <c r="AF13" s="1136"/>
      <c r="AG13" s="1136"/>
      <c r="AH13" s="1136"/>
      <c r="AI13" s="1136"/>
      <c r="AJ13" s="1136"/>
      <c r="AK13" s="1136"/>
      <c r="AL13" s="1136"/>
      <c r="AM13" s="1136"/>
      <c r="AN13" s="1136"/>
      <c r="AO13" s="1136"/>
      <c r="AP13" s="1136"/>
      <c r="AQ13" s="1136"/>
      <c r="AR13" s="1136"/>
      <c r="AS13" s="1136"/>
      <c r="AT13" s="1136"/>
      <c r="AU13" s="1136"/>
      <c r="AV13" s="1136"/>
      <c r="AW13" s="1136"/>
      <c r="AX13" s="1136"/>
      <c r="AY13" s="1136"/>
      <c r="AZ13" s="1136"/>
      <c r="BA13" s="1136"/>
      <c r="BB13" s="1136"/>
      <c r="BC13" s="1136"/>
      <c r="BD13" s="1136"/>
      <c r="BE13" s="1136"/>
      <c r="BF13" s="1136"/>
      <c r="BG13" s="1136"/>
      <c r="BH13" s="1136"/>
      <c r="BI13" s="1136"/>
      <c r="BJ13" s="1136"/>
      <c r="BK13" s="1136"/>
      <c r="BL13" s="1136"/>
      <c r="BM13" s="1136"/>
      <c r="BN13" s="1136"/>
      <c r="BO13" s="1136"/>
      <c r="BP13" s="1136"/>
      <c r="BQ13" s="1136"/>
      <c r="BR13" s="1136"/>
      <c r="BS13" s="1136"/>
      <c r="BT13" s="1136"/>
      <c r="BU13" s="1136"/>
      <c r="BV13" s="1136"/>
      <c r="BW13" s="1136"/>
      <c r="BX13" s="1136"/>
      <c r="BY13" s="1136"/>
      <c r="BZ13" s="1136"/>
      <c r="CA13" s="1136"/>
      <c r="CB13" s="1136"/>
      <c r="CC13" s="1136"/>
      <c r="CD13" s="1136"/>
      <c r="CE13" s="1136"/>
      <c r="CF13" s="1136"/>
      <c r="CG13" s="1136"/>
      <c r="CH13" s="1136"/>
      <c r="CI13" s="1136"/>
      <c r="CJ13" s="1136"/>
      <c r="CK13" s="1136"/>
      <c r="CL13" s="1136"/>
      <c r="CM13" s="1136"/>
      <c r="CN13" s="1136"/>
      <c r="CO13" s="1136"/>
      <c r="CP13" s="1136"/>
      <c r="CQ13" s="1136"/>
      <c r="CR13" s="1136"/>
      <c r="CS13" s="1136"/>
      <c r="CT13" s="1136"/>
      <c r="CU13" s="1136"/>
      <c r="CV13" s="1136"/>
      <c r="CW13" s="1136"/>
      <c r="CX13" s="1136"/>
      <c r="CY13" s="1136"/>
      <c r="CZ13" s="1136"/>
      <c r="DA13" s="1136"/>
      <c r="DB13" s="1136"/>
      <c r="DC13" s="1136"/>
      <c r="DD13" s="1136"/>
      <c r="DE13" s="1136"/>
      <c r="DF13" s="1136"/>
      <c r="DG13" s="1136"/>
      <c r="DH13" s="1136"/>
      <c r="DI13" s="1136"/>
      <c r="DJ13" s="1136"/>
      <c r="DK13" s="1136"/>
      <c r="DL13" s="1136"/>
      <c r="DM13" s="1136"/>
      <c r="DN13" s="1136"/>
      <c r="DO13" s="1136"/>
      <c r="DP13" s="1136"/>
      <c r="DQ13" s="1136"/>
      <c r="DR13" s="1136"/>
      <c r="DS13" s="1136"/>
      <c r="DT13" s="1136"/>
      <c r="DU13" s="1136"/>
      <c r="DV13" s="1136"/>
      <c r="DW13" s="1136"/>
      <c r="DX13" s="1136"/>
      <c r="DY13" s="1136"/>
      <c r="DZ13" s="1136"/>
      <c r="EA13" s="1136"/>
      <c r="EB13" s="1136"/>
      <c r="EC13" s="1136"/>
      <c r="ED13" s="1136"/>
      <c r="EE13" s="1136"/>
      <c r="EF13" s="1136"/>
      <c r="EG13" s="1136"/>
      <c r="EH13" s="1136"/>
      <c r="EI13" s="1136"/>
      <c r="EJ13" s="1136"/>
      <c r="EK13" s="1136"/>
      <c r="EL13" s="1136"/>
      <c r="EM13" s="1136"/>
      <c r="EN13" s="1136"/>
      <c r="EO13" s="1136"/>
      <c r="EP13" s="1136"/>
      <c r="EQ13" s="1136"/>
      <c r="ER13" s="1136"/>
      <c r="ES13" s="1136"/>
      <c r="ET13" s="1136"/>
      <c r="EU13" s="1136"/>
      <c r="EV13" s="1136"/>
      <c r="EW13" s="1136"/>
      <c r="EX13" s="1136"/>
      <c r="EY13" s="1136"/>
      <c r="EZ13" s="1136"/>
      <c r="FA13" s="1136"/>
      <c r="FB13" s="1136"/>
      <c r="FC13" s="1136"/>
      <c r="FD13" s="1136"/>
      <c r="FE13" s="1136"/>
      <c r="FF13" s="1136"/>
      <c r="FG13" s="1136"/>
      <c r="FH13" s="1136"/>
      <c r="FI13" s="1136"/>
      <c r="FJ13" s="1136"/>
      <c r="FK13" s="1136"/>
      <c r="FL13" s="1136"/>
      <c r="FM13" s="1136"/>
      <c r="FN13" s="1136"/>
      <c r="FO13" s="1136"/>
      <c r="FP13" s="1136"/>
      <c r="FQ13" s="1136"/>
      <c r="FR13" s="1136"/>
      <c r="FS13" s="1136"/>
      <c r="FT13" s="1136"/>
      <c r="FU13" s="1136"/>
      <c r="FV13" s="1136"/>
      <c r="FW13" s="1136"/>
      <c r="FX13" s="1136"/>
      <c r="FY13" s="1136"/>
      <c r="FZ13" s="1136"/>
      <c r="GA13" s="1136"/>
      <c r="GB13" s="1136"/>
      <c r="GC13" s="1136"/>
      <c r="GD13" s="1136"/>
      <c r="GE13" s="1136"/>
      <c r="GF13" s="1136"/>
      <c r="GG13" s="1136"/>
      <c r="GH13" s="1136"/>
      <c r="GI13" s="1136"/>
      <c r="GJ13" s="1136"/>
      <c r="GK13" s="1136"/>
      <c r="GL13" s="1136"/>
      <c r="GM13" s="1136"/>
      <c r="GN13" s="1136"/>
      <c r="GO13" s="1136"/>
      <c r="GP13" s="1136"/>
      <c r="GQ13" s="1136"/>
      <c r="GR13" s="1136"/>
      <c r="GS13" s="1136"/>
      <c r="GT13" s="1136"/>
      <c r="GU13" s="1136"/>
      <c r="GV13" s="1136"/>
      <c r="GW13" s="1136"/>
      <c r="GX13" s="1136"/>
      <c r="GY13" s="1136"/>
      <c r="GZ13" s="1136"/>
      <c r="HA13" s="1136"/>
      <c r="HB13" s="1136"/>
      <c r="HC13" s="1136"/>
      <c r="HD13" s="1136"/>
      <c r="HE13" s="1136"/>
      <c r="HF13" s="1136"/>
      <c r="HG13" s="1136"/>
      <c r="HH13" s="1136"/>
      <c r="HI13" s="1136"/>
      <c r="HJ13" s="1136"/>
      <c r="HK13" s="1136"/>
      <c r="HL13" s="1136"/>
      <c r="HM13" s="1136"/>
      <c r="HN13" s="1136"/>
      <c r="HO13" s="1136"/>
      <c r="HP13" s="1136"/>
      <c r="HQ13" s="1136"/>
      <c r="HR13" s="1136"/>
      <c r="HS13" s="1136"/>
      <c r="HT13" s="1136"/>
      <c r="HU13" s="1136"/>
      <c r="HV13" s="1136"/>
      <c r="HW13" s="1136"/>
      <c r="HX13" s="1136"/>
      <c r="HY13" s="1136"/>
      <c r="HZ13" s="1136"/>
      <c r="IA13" s="1136"/>
      <c r="IB13" s="1136"/>
      <c r="IC13" s="1136"/>
      <c r="ID13" s="1136"/>
      <c r="IE13" s="1136"/>
      <c r="IF13" s="1136"/>
      <c r="IG13" s="1136"/>
      <c r="IH13" s="1136"/>
      <c r="II13" s="1136"/>
      <c r="IJ13" s="1136"/>
      <c r="IK13" s="1136"/>
      <c r="IL13" s="1136"/>
      <c r="IM13" s="1136"/>
      <c r="IN13" s="1136"/>
      <c r="IO13" s="1136"/>
      <c r="IP13" s="1136"/>
      <c r="IQ13" s="1136"/>
      <c r="IR13" s="1136"/>
      <c r="IS13" s="1136"/>
      <c r="IT13" s="1136"/>
      <c r="IU13" s="1136"/>
      <c r="IV13" s="1136"/>
    </row>
    <row r="14" spans="1:256">
      <c r="A14" s="1140">
        <f>+A13+1</f>
        <v>4</v>
      </c>
      <c r="B14" s="1142" t="s">
        <v>511</v>
      </c>
      <c r="C14" s="1142"/>
      <c r="D14" s="1142"/>
      <c r="E14" s="1142" t="str">
        <f>"Line "&amp;A13&amp;" / 12"</f>
        <v>Line 3 / 12</v>
      </c>
      <c r="F14" s="1138"/>
      <c r="G14" s="1136"/>
      <c r="H14" s="1144">
        <f>+H13/12</f>
        <v>0</v>
      </c>
      <c r="I14" s="1138"/>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6"/>
      <c r="AK14" s="1136"/>
      <c r="AL14" s="1136"/>
      <c r="AM14" s="1136"/>
      <c r="AN14" s="1136"/>
      <c r="AO14" s="1136"/>
      <c r="AP14" s="1136"/>
      <c r="AQ14" s="1136"/>
      <c r="AR14" s="1136"/>
      <c r="AS14" s="1136"/>
      <c r="AT14" s="1136"/>
      <c r="AU14" s="1136"/>
      <c r="AV14" s="1136"/>
      <c r="AW14" s="1136"/>
      <c r="AX14" s="1136"/>
      <c r="AY14" s="1136"/>
      <c r="AZ14" s="1136"/>
      <c r="BA14" s="1136"/>
      <c r="BB14" s="1136"/>
      <c r="BC14" s="1136"/>
      <c r="BD14" s="1136"/>
      <c r="BE14" s="1136"/>
      <c r="BF14" s="1136"/>
      <c r="BG14" s="1136"/>
      <c r="BH14" s="1136"/>
      <c r="BI14" s="1136"/>
      <c r="BJ14" s="1136"/>
      <c r="BK14" s="1136"/>
      <c r="BL14" s="1136"/>
      <c r="BM14" s="1136"/>
      <c r="BN14" s="1136"/>
      <c r="BO14" s="1136"/>
      <c r="BP14" s="1136"/>
      <c r="BQ14" s="1136"/>
      <c r="BR14" s="1136"/>
      <c r="BS14" s="1136"/>
      <c r="BT14" s="1136"/>
      <c r="BU14" s="1136"/>
      <c r="BV14" s="1136"/>
      <c r="BW14" s="1136"/>
      <c r="BX14" s="1136"/>
      <c r="BY14" s="1136"/>
      <c r="BZ14" s="1136"/>
      <c r="CA14" s="1136"/>
      <c r="CB14" s="1136"/>
      <c r="CC14" s="1136"/>
      <c r="CD14" s="1136"/>
      <c r="CE14" s="1136"/>
      <c r="CF14" s="1136"/>
      <c r="CG14" s="1136"/>
      <c r="CH14" s="1136"/>
      <c r="CI14" s="1136"/>
      <c r="CJ14" s="1136"/>
      <c r="CK14" s="1136"/>
      <c r="CL14" s="1136"/>
      <c r="CM14" s="1136"/>
      <c r="CN14" s="1136"/>
      <c r="CO14" s="1136"/>
      <c r="CP14" s="1136"/>
      <c r="CQ14" s="1136"/>
      <c r="CR14" s="1136"/>
      <c r="CS14" s="1136"/>
      <c r="CT14" s="1136"/>
      <c r="CU14" s="1136"/>
      <c r="CV14" s="1136"/>
      <c r="CW14" s="1136"/>
      <c r="CX14" s="1136"/>
      <c r="CY14" s="1136"/>
      <c r="CZ14" s="1136"/>
      <c r="DA14" s="1136"/>
      <c r="DB14" s="1136"/>
      <c r="DC14" s="1136"/>
      <c r="DD14" s="1136"/>
      <c r="DE14" s="1136"/>
      <c r="DF14" s="1136"/>
      <c r="DG14" s="1136"/>
      <c r="DH14" s="1136"/>
      <c r="DI14" s="1136"/>
      <c r="DJ14" s="1136"/>
      <c r="DK14" s="1136"/>
      <c r="DL14" s="1136"/>
      <c r="DM14" s="1136"/>
      <c r="DN14" s="1136"/>
      <c r="DO14" s="1136"/>
      <c r="DP14" s="1136"/>
      <c r="DQ14" s="1136"/>
      <c r="DR14" s="1136"/>
      <c r="DS14" s="1136"/>
      <c r="DT14" s="1136"/>
      <c r="DU14" s="1136"/>
      <c r="DV14" s="1136"/>
      <c r="DW14" s="1136"/>
      <c r="DX14" s="1136"/>
      <c r="DY14" s="1136"/>
      <c r="DZ14" s="1136"/>
      <c r="EA14" s="1136"/>
      <c r="EB14" s="1136"/>
      <c r="EC14" s="1136"/>
      <c r="ED14" s="1136"/>
      <c r="EE14" s="1136"/>
      <c r="EF14" s="1136"/>
      <c r="EG14" s="1136"/>
      <c r="EH14" s="1136"/>
      <c r="EI14" s="1136"/>
      <c r="EJ14" s="1136"/>
      <c r="EK14" s="1136"/>
      <c r="EL14" s="1136"/>
      <c r="EM14" s="1136"/>
      <c r="EN14" s="1136"/>
      <c r="EO14" s="1136"/>
      <c r="EP14" s="1136"/>
      <c r="EQ14" s="1136"/>
      <c r="ER14" s="1136"/>
      <c r="ES14" s="1136"/>
      <c r="ET14" s="1136"/>
      <c r="EU14" s="1136"/>
      <c r="EV14" s="1136"/>
      <c r="EW14" s="1136"/>
      <c r="EX14" s="1136"/>
      <c r="EY14" s="1136"/>
      <c r="EZ14" s="1136"/>
      <c r="FA14" s="1136"/>
      <c r="FB14" s="1136"/>
      <c r="FC14" s="1136"/>
      <c r="FD14" s="1136"/>
      <c r="FE14" s="1136"/>
      <c r="FF14" s="1136"/>
      <c r="FG14" s="1136"/>
      <c r="FH14" s="1136"/>
      <c r="FI14" s="1136"/>
      <c r="FJ14" s="1136"/>
      <c r="FK14" s="1136"/>
      <c r="FL14" s="1136"/>
      <c r="FM14" s="1136"/>
      <c r="FN14" s="1136"/>
      <c r="FO14" s="1136"/>
      <c r="FP14" s="1136"/>
      <c r="FQ14" s="1136"/>
      <c r="FR14" s="1136"/>
      <c r="FS14" s="1136"/>
      <c r="FT14" s="1136"/>
      <c r="FU14" s="1136"/>
      <c r="FV14" s="1136"/>
      <c r="FW14" s="1136"/>
      <c r="FX14" s="1136"/>
      <c r="FY14" s="1136"/>
      <c r="FZ14" s="1136"/>
      <c r="GA14" s="1136"/>
      <c r="GB14" s="1136"/>
      <c r="GC14" s="1136"/>
      <c r="GD14" s="1136"/>
      <c r="GE14" s="1136"/>
      <c r="GF14" s="1136"/>
      <c r="GG14" s="1136"/>
      <c r="GH14" s="1136"/>
      <c r="GI14" s="1136"/>
      <c r="GJ14" s="1136"/>
      <c r="GK14" s="1136"/>
      <c r="GL14" s="1136"/>
      <c r="GM14" s="1136"/>
      <c r="GN14" s="1136"/>
      <c r="GO14" s="1136"/>
      <c r="GP14" s="1136"/>
      <c r="GQ14" s="1136"/>
      <c r="GR14" s="1136"/>
      <c r="GS14" s="1136"/>
      <c r="GT14" s="1136"/>
      <c r="GU14" s="1136"/>
      <c r="GV14" s="1136"/>
      <c r="GW14" s="1136"/>
      <c r="GX14" s="1136"/>
      <c r="GY14" s="1136"/>
      <c r="GZ14" s="1136"/>
      <c r="HA14" s="1136"/>
      <c r="HB14" s="1136"/>
      <c r="HC14" s="1136"/>
      <c r="HD14" s="1136"/>
      <c r="HE14" s="1136"/>
      <c r="HF14" s="1136"/>
      <c r="HG14" s="1136"/>
      <c r="HH14" s="1136"/>
      <c r="HI14" s="1136"/>
      <c r="HJ14" s="1136"/>
      <c r="HK14" s="1136"/>
      <c r="HL14" s="1136"/>
      <c r="HM14" s="1136"/>
      <c r="HN14" s="1136"/>
      <c r="HO14" s="1136"/>
      <c r="HP14" s="1136"/>
      <c r="HQ14" s="1136"/>
      <c r="HR14" s="1136"/>
      <c r="HS14" s="1136"/>
      <c r="HT14" s="1136"/>
      <c r="HU14" s="1136"/>
      <c r="HV14" s="1136"/>
      <c r="HW14" s="1136"/>
      <c r="HX14" s="1136"/>
      <c r="HY14" s="1136"/>
      <c r="HZ14" s="1136"/>
      <c r="IA14" s="1136"/>
      <c r="IB14" s="1136"/>
      <c r="IC14" s="1136"/>
      <c r="ID14" s="1136"/>
      <c r="IE14" s="1136"/>
      <c r="IF14" s="1136"/>
      <c r="IG14" s="1136"/>
      <c r="IH14" s="1136"/>
      <c r="II14" s="1136"/>
      <c r="IJ14" s="1136"/>
      <c r="IK14" s="1136"/>
      <c r="IL14" s="1136"/>
      <c r="IM14" s="1136"/>
      <c r="IN14" s="1136"/>
      <c r="IO14" s="1136"/>
      <c r="IP14" s="1136"/>
      <c r="IQ14" s="1136"/>
      <c r="IR14" s="1136"/>
      <c r="IS14" s="1136"/>
      <c r="IT14" s="1136"/>
      <c r="IU14" s="1136"/>
      <c r="IV14" s="1136"/>
    </row>
    <row r="15" spans="1:256">
      <c r="A15" s="1142"/>
      <c r="B15" s="1142"/>
      <c r="C15" s="1142"/>
      <c r="D15" s="1142"/>
      <c r="E15" s="1138"/>
      <c r="F15" s="1138"/>
      <c r="G15" s="1138"/>
      <c r="H15" s="1138"/>
      <c r="I15" s="1138"/>
      <c r="J15" s="1136"/>
      <c r="K15" s="1136"/>
      <c r="L15" s="1136"/>
      <c r="M15" s="1136"/>
      <c r="N15" s="1136"/>
      <c r="O15" s="1136"/>
      <c r="P15" s="1136"/>
      <c r="Q15" s="1136"/>
      <c r="R15" s="1136"/>
      <c r="S15" s="1136"/>
      <c r="T15" s="1136"/>
      <c r="U15" s="1136"/>
      <c r="V15" s="1136"/>
      <c r="W15" s="1136"/>
      <c r="X15" s="1136"/>
      <c r="Y15" s="1136"/>
      <c r="Z15" s="1136"/>
      <c r="AA15" s="1136"/>
      <c r="AB15" s="1136"/>
      <c r="AC15" s="1136"/>
      <c r="AD15" s="1136"/>
      <c r="AE15" s="1136"/>
      <c r="AF15" s="1136"/>
      <c r="AG15" s="1136"/>
      <c r="AH15" s="1136"/>
      <c r="AI15" s="1136"/>
      <c r="AJ15" s="1136"/>
      <c r="AK15" s="1136"/>
      <c r="AL15" s="1136"/>
      <c r="AM15" s="1136"/>
      <c r="AN15" s="1136"/>
      <c r="AO15" s="1136"/>
      <c r="AP15" s="1136"/>
      <c r="AQ15" s="1136"/>
      <c r="AR15" s="1136"/>
      <c r="AS15" s="1136"/>
      <c r="AT15" s="1136"/>
      <c r="AU15" s="1136"/>
      <c r="AV15" s="1136"/>
      <c r="AW15" s="1136"/>
      <c r="AX15" s="1136"/>
      <c r="AY15" s="1136"/>
      <c r="AZ15" s="1136"/>
      <c r="BA15" s="1136"/>
      <c r="BB15" s="1136"/>
      <c r="BC15" s="1136"/>
      <c r="BD15" s="1136"/>
      <c r="BE15" s="1136"/>
      <c r="BF15" s="1136"/>
      <c r="BG15" s="1136"/>
      <c r="BH15" s="1136"/>
      <c r="BI15" s="1136"/>
      <c r="BJ15" s="1136"/>
      <c r="BK15" s="1136"/>
      <c r="BL15" s="1136"/>
      <c r="BM15" s="1136"/>
      <c r="BN15" s="1136"/>
      <c r="BO15" s="1136"/>
      <c r="BP15" s="1136"/>
      <c r="BQ15" s="1136"/>
      <c r="BR15" s="1136"/>
      <c r="BS15" s="1136"/>
      <c r="BT15" s="1136"/>
      <c r="BU15" s="1136"/>
      <c r="BV15" s="1136"/>
      <c r="BW15" s="1136"/>
      <c r="BX15" s="1136"/>
      <c r="BY15" s="1136"/>
      <c r="BZ15" s="1136"/>
      <c r="CA15" s="1136"/>
      <c r="CB15" s="1136"/>
      <c r="CC15" s="1136"/>
      <c r="CD15" s="1136"/>
      <c r="CE15" s="1136"/>
      <c r="CF15" s="1136"/>
      <c r="CG15" s="1136"/>
      <c r="CH15" s="1136"/>
      <c r="CI15" s="1136"/>
      <c r="CJ15" s="1136"/>
      <c r="CK15" s="1136"/>
      <c r="CL15" s="1136"/>
      <c r="CM15" s="1136"/>
      <c r="CN15" s="1136"/>
      <c r="CO15" s="1136"/>
      <c r="CP15" s="1136"/>
      <c r="CQ15" s="1136"/>
      <c r="CR15" s="1136"/>
      <c r="CS15" s="1136"/>
      <c r="CT15" s="1136"/>
      <c r="CU15" s="1136"/>
      <c r="CV15" s="1136"/>
      <c r="CW15" s="1136"/>
      <c r="CX15" s="1136"/>
      <c r="CY15" s="1136"/>
      <c r="CZ15" s="1136"/>
      <c r="DA15" s="1136"/>
      <c r="DB15" s="1136"/>
      <c r="DC15" s="1136"/>
      <c r="DD15" s="1136"/>
      <c r="DE15" s="1136"/>
      <c r="DF15" s="1136"/>
      <c r="DG15" s="1136"/>
      <c r="DH15" s="1136"/>
      <c r="DI15" s="1136"/>
      <c r="DJ15" s="1136"/>
      <c r="DK15" s="1136"/>
      <c r="DL15" s="1136"/>
      <c r="DM15" s="1136"/>
      <c r="DN15" s="1136"/>
      <c r="DO15" s="1136"/>
      <c r="DP15" s="1136"/>
      <c r="DQ15" s="1136"/>
      <c r="DR15" s="1136"/>
      <c r="DS15" s="1136"/>
      <c r="DT15" s="1136"/>
      <c r="DU15" s="1136"/>
      <c r="DV15" s="1136"/>
      <c r="DW15" s="1136"/>
      <c r="DX15" s="1136"/>
      <c r="DY15" s="1136"/>
      <c r="DZ15" s="1136"/>
      <c r="EA15" s="1136"/>
      <c r="EB15" s="1136"/>
      <c r="EC15" s="1136"/>
      <c r="ED15" s="1136"/>
      <c r="EE15" s="1136"/>
      <c r="EF15" s="1136"/>
      <c r="EG15" s="1136"/>
      <c r="EH15" s="1136"/>
      <c r="EI15" s="1136"/>
      <c r="EJ15" s="1136"/>
      <c r="EK15" s="1136"/>
      <c r="EL15" s="1136"/>
      <c r="EM15" s="1136"/>
      <c r="EN15" s="1136"/>
      <c r="EO15" s="1136"/>
      <c r="EP15" s="1136"/>
      <c r="EQ15" s="1136"/>
      <c r="ER15" s="1136"/>
      <c r="ES15" s="1136"/>
      <c r="ET15" s="1136"/>
      <c r="EU15" s="1136"/>
      <c r="EV15" s="1136"/>
      <c r="EW15" s="1136"/>
      <c r="EX15" s="1136"/>
      <c r="EY15" s="1136"/>
      <c r="EZ15" s="1136"/>
      <c r="FA15" s="1136"/>
      <c r="FB15" s="1136"/>
      <c r="FC15" s="1136"/>
      <c r="FD15" s="1136"/>
      <c r="FE15" s="1136"/>
      <c r="FF15" s="1136"/>
      <c r="FG15" s="1136"/>
      <c r="FH15" s="1136"/>
      <c r="FI15" s="1136"/>
      <c r="FJ15" s="1136"/>
      <c r="FK15" s="1136"/>
      <c r="FL15" s="1136"/>
      <c r="FM15" s="1136"/>
      <c r="FN15" s="1136"/>
      <c r="FO15" s="1136"/>
      <c r="FP15" s="1136"/>
      <c r="FQ15" s="1136"/>
      <c r="FR15" s="1136"/>
      <c r="FS15" s="1136"/>
      <c r="FT15" s="1136"/>
      <c r="FU15" s="1136"/>
      <c r="FV15" s="1136"/>
      <c r="FW15" s="1136"/>
      <c r="FX15" s="1136"/>
      <c r="FY15" s="1136"/>
      <c r="FZ15" s="1136"/>
      <c r="GA15" s="1136"/>
      <c r="GB15" s="1136"/>
      <c r="GC15" s="1136"/>
      <c r="GD15" s="1136"/>
      <c r="GE15" s="1136"/>
      <c r="GF15" s="1136"/>
      <c r="GG15" s="1136"/>
      <c r="GH15" s="1136"/>
      <c r="GI15" s="1136"/>
      <c r="GJ15" s="1136"/>
      <c r="GK15" s="1136"/>
      <c r="GL15" s="1136"/>
      <c r="GM15" s="1136"/>
      <c r="GN15" s="1136"/>
      <c r="GO15" s="1136"/>
      <c r="GP15" s="1136"/>
      <c r="GQ15" s="1136"/>
      <c r="GR15" s="1136"/>
      <c r="GS15" s="1136"/>
      <c r="GT15" s="1136"/>
      <c r="GU15" s="1136"/>
      <c r="GV15" s="1136"/>
      <c r="GW15" s="1136"/>
      <c r="GX15" s="1136"/>
      <c r="GY15" s="1136"/>
      <c r="GZ15" s="1136"/>
      <c r="HA15" s="1136"/>
      <c r="HB15" s="1136"/>
      <c r="HC15" s="1136"/>
      <c r="HD15" s="1136"/>
      <c r="HE15" s="1136"/>
      <c r="HF15" s="1136"/>
      <c r="HG15" s="1136"/>
      <c r="HH15" s="1136"/>
      <c r="HI15" s="1136"/>
      <c r="HJ15" s="1136"/>
      <c r="HK15" s="1136"/>
      <c r="HL15" s="1136"/>
      <c r="HM15" s="1136"/>
      <c r="HN15" s="1136"/>
      <c r="HO15" s="1136"/>
      <c r="HP15" s="1136"/>
      <c r="HQ15" s="1136"/>
      <c r="HR15" s="1136"/>
      <c r="HS15" s="1136"/>
      <c r="HT15" s="1136"/>
      <c r="HU15" s="1136"/>
      <c r="HV15" s="1136"/>
      <c r="HW15" s="1136"/>
      <c r="HX15" s="1136"/>
      <c r="HY15" s="1136"/>
      <c r="HZ15" s="1136"/>
      <c r="IA15" s="1136"/>
      <c r="IB15" s="1136"/>
      <c r="IC15" s="1136"/>
      <c r="ID15" s="1136"/>
      <c r="IE15" s="1136"/>
      <c r="IF15" s="1136"/>
      <c r="IG15" s="1136"/>
      <c r="IH15" s="1136"/>
      <c r="II15" s="1136"/>
      <c r="IJ15" s="1136"/>
      <c r="IK15" s="1136"/>
      <c r="IL15" s="1136"/>
      <c r="IM15" s="1136"/>
      <c r="IN15" s="1136"/>
      <c r="IO15" s="1136"/>
      <c r="IP15" s="1136"/>
      <c r="IQ15" s="1136"/>
      <c r="IR15" s="1136"/>
      <c r="IS15" s="1136"/>
      <c r="IT15" s="1136"/>
      <c r="IU15" s="1136"/>
      <c r="IV15" s="1136"/>
    </row>
    <row r="16" spans="1:256" ht="15.75">
      <c r="A16" s="1136"/>
      <c r="B16" s="1145" t="s">
        <v>303</v>
      </c>
      <c r="C16" s="1145" t="s">
        <v>304</v>
      </c>
      <c r="D16" s="1145" t="s">
        <v>47</v>
      </c>
      <c r="E16" s="1145" t="s">
        <v>306</v>
      </c>
      <c r="F16" s="1145" t="s">
        <v>231</v>
      </c>
      <c r="G16" s="1145" t="s">
        <v>232</v>
      </c>
      <c r="H16" s="1145" t="s">
        <v>233</v>
      </c>
      <c r="I16" s="1145" t="s">
        <v>238</v>
      </c>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6"/>
      <c r="AJ16" s="1136"/>
      <c r="AK16" s="1136"/>
      <c r="AL16" s="1136"/>
      <c r="AM16" s="1136"/>
      <c r="AN16" s="1136"/>
      <c r="AO16" s="1136"/>
      <c r="AP16" s="1136"/>
      <c r="AQ16" s="1136"/>
      <c r="AR16" s="1136"/>
      <c r="AS16" s="1136"/>
      <c r="AT16" s="1136"/>
      <c r="AU16" s="1136"/>
      <c r="AV16" s="1136"/>
      <c r="AW16" s="1136"/>
      <c r="AX16" s="1136"/>
      <c r="AY16" s="1136"/>
      <c r="AZ16" s="1136"/>
      <c r="BA16" s="1136"/>
      <c r="BB16" s="1136"/>
      <c r="BC16" s="1136"/>
      <c r="BD16" s="1136"/>
      <c r="BE16" s="1136"/>
      <c r="BF16" s="1136"/>
      <c r="BG16" s="1136"/>
      <c r="BH16" s="1136"/>
      <c r="BI16" s="1136"/>
      <c r="BJ16" s="1136"/>
      <c r="BK16" s="1136"/>
      <c r="BL16" s="1136"/>
      <c r="BM16" s="1136"/>
      <c r="BN16" s="1136"/>
      <c r="BO16" s="1136"/>
      <c r="BP16" s="1136"/>
      <c r="BQ16" s="1136"/>
      <c r="BR16" s="1136"/>
      <c r="BS16" s="1136"/>
      <c r="BT16" s="1136"/>
      <c r="BU16" s="1136"/>
      <c r="BV16" s="1136"/>
      <c r="BW16" s="1136"/>
      <c r="BX16" s="1136"/>
      <c r="BY16" s="1136"/>
      <c r="BZ16" s="1136"/>
      <c r="CA16" s="1136"/>
      <c r="CB16" s="1136"/>
      <c r="CC16" s="1136"/>
      <c r="CD16" s="1136"/>
      <c r="CE16" s="1136"/>
      <c r="CF16" s="1136"/>
      <c r="CG16" s="1136"/>
      <c r="CH16" s="1136"/>
      <c r="CI16" s="1136"/>
      <c r="CJ16" s="1136"/>
      <c r="CK16" s="1136"/>
      <c r="CL16" s="1136"/>
      <c r="CM16" s="1136"/>
      <c r="CN16" s="1136"/>
      <c r="CO16" s="1136"/>
      <c r="CP16" s="1136"/>
      <c r="CQ16" s="1136"/>
      <c r="CR16" s="1136"/>
      <c r="CS16" s="1136"/>
      <c r="CT16" s="1136"/>
      <c r="CU16" s="1136"/>
      <c r="CV16" s="1136"/>
      <c r="CW16" s="1136"/>
      <c r="CX16" s="1136"/>
      <c r="CY16" s="1136"/>
      <c r="CZ16" s="1136"/>
      <c r="DA16" s="1136"/>
      <c r="DB16" s="1136"/>
      <c r="DC16" s="1136"/>
      <c r="DD16" s="1136"/>
      <c r="DE16" s="1136"/>
      <c r="DF16" s="1136"/>
      <c r="DG16" s="1136"/>
      <c r="DH16" s="1136"/>
      <c r="DI16" s="1136"/>
      <c r="DJ16" s="1136"/>
      <c r="DK16" s="1136"/>
      <c r="DL16" s="1136"/>
      <c r="DM16" s="1136"/>
      <c r="DN16" s="1136"/>
      <c r="DO16" s="1136"/>
      <c r="DP16" s="1136"/>
      <c r="DQ16" s="1136"/>
      <c r="DR16" s="1136"/>
      <c r="DS16" s="1136"/>
      <c r="DT16" s="1136"/>
      <c r="DU16" s="1136"/>
      <c r="DV16" s="1136"/>
      <c r="DW16" s="1136"/>
      <c r="DX16" s="1136"/>
      <c r="DY16" s="1136"/>
      <c r="DZ16" s="1136"/>
      <c r="EA16" s="1136"/>
      <c r="EB16" s="1136"/>
      <c r="EC16" s="1136"/>
      <c r="ED16" s="1136"/>
      <c r="EE16" s="1136"/>
      <c r="EF16" s="1136"/>
      <c r="EG16" s="1136"/>
      <c r="EH16" s="1136"/>
      <c r="EI16" s="1136"/>
      <c r="EJ16" s="1136"/>
      <c r="EK16" s="1136"/>
      <c r="EL16" s="1136"/>
      <c r="EM16" s="1136"/>
      <c r="EN16" s="1136"/>
      <c r="EO16" s="1136"/>
      <c r="EP16" s="1136"/>
      <c r="EQ16" s="1136"/>
      <c r="ER16" s="1136"/>
      <c r="ES16" s="1136"/>
      <c r="ET16" s="1136"/>
      <c r="EU16" s="1136"/>
      <c r="EV16" s="1136"/>
      <c r="EW16" s="1136"/>
      <c r="EX16" s="1136"/>
      <c r="EY16" s="1136"/>
      <c r="EZ16" s="1136"/>
      <c r="FA16" s="1136"/>
      <c r="FB16" s="1136"/>
      <c r="FC16" s="1136"/>
      <c r="FD16" s="1136"/>
      <c r="FE16" s="1136"/>
      <c r="FF16" s="1136"/>
      <c r="FG16" s="1136"/>
      <c r="FH16" s="1136"/>
      <c r="FI16" s="1136"/>
      <c r="FJ16" s="1136"/>
      <c r="FK16" s="1136"/>
      <c r="FL16" s="1136"/>
      <c r="FM16" s="1136"/>
      <c r="FN16" s="1136"/>
      <c r="FO16" s="1136"/>
      <c r="FP16" s="1136"/>
      <c r="FQ16" s="1136"/>
      <c r="FR16" s="1136"/>
      <c r="FS16" s="1136"/>
      <c r="FT16" s="1136"/>
      <c r="FU16" s="1136"/>
      <c r="FV16" s="1136"/>
      <c r="FW16" s="1136"/>
      <c r="FX16" s="1136"/>
      <c r="FY16" s="1136"/>
      <c r="FZ16" s="1136"/>
      <c r="GA16" s="1136"/>
      <c r="GB16" s="1136"/>
      <c r="GC16" s="1136"/>
      <c r="GD16" s="1136"/>
      <c r="GE16" s="1136"/>
      <c r="GF16" s="1136"/>
      <c r="GG16" s="1136"/>
      <c r="GH16" s="1136"/>
      <c r="GI16" s="1136"/>
      <c r="GJ16" s="1136"/>
      <c r="GK16" s="1136"/>
      <c r="GL16" s="1136"/>
      <c r="GM16" s="1136"/>
      <c r="GN16" s="1136"/>
      <c r="GO16" s="1136"/>
      <c r="GP16" s="1136"/>
      <c r="GQ16" s="1136"/>
      <c r="GR16" s="1136"/>
      <c r="GS16" s="1136"/>
      <c r="GT16" s="1136"/>
      <c r="GU16" s="1136"/>
      <c r="GV16" s="1136"/>
      <c r="GW16" s="1136"/>
      <c r="GX16" s="1136"/>
      <c r="GY16" s="1136"/>
      <c r="GZ16" s="1136"/>
      <c r="HA16" s="1136"/>
      <c r="HB16" s="1136"/>
      <c r="HC16" s="1136"/>
      <c r="HD16" s="1136"/>
      <c r="HE16" s="1136"/>
      <c r="HF16" s="1136"/>
      <c r="HG16" s="1136"/>
      <c r="HH16" s="1136"/>
      <c r="HI16" s="1136"/>
      <c r="HJ16" s="1136"/>
      <c r="HK16" s="1136"/>
      <c r="HL16" s="1136"/>
      <c r="HM16" s="1136"/>
      <c r="HN16" s="1136"/>
      <c r="HO16" s="1136"/>
      <c r="HP16" s="1136"/>
      <c r="HQ16" s="1136"/>
      <c r="HR16" s="1136"/>
      <c r="HS16" s="1136"/>
      <c r="HT16" s="1136"/>
      <c r="HU16" s="1136"/>
      <c r="HV16" s="1136"/>
      <c r="HW16" s="1136"/>
      <c r="HX16" s="1136"/>
      <c r="HY16" s="1136"/>
      <c r="HZ16" s="1136"/>
      <c r="IA16" s="1136"/>
      <c r="IB16" s="1136"/>
      <c r="IC16" s="1136"/>
      <c r="ID16" s="1136"/>
      <c r="IE16" s="1136"/>
      <c r="IF16" s="1136"/>
      <c r="IG16" s="1136"/>
      <c r="IH16" s="1136"/>
      <c r="II16" s="1136"/>
      <c r="IJ16" s="1136"/>
      <c r="IK16" s="1136"/>
      <c r="IL16" s="1136"/>
      <c r="IM16" s="1136"/>
      <c r="IN16" s="1136"/>
      <c r="IO16" s="1136"/>
      <c r="IP16" s="1136"/>
      <c r="IQ16" s="1136"/>
      <c r="IR16" s="1136"/>
      <c r="IS16" s="1136"/>
      <c r="IT16" s="1136"/>
      <c r="IU16" s="1136"/>
      <c r="IV16" s="1136"/>
    </row>
    <row r="17" spans="1:256" ht="39">
      <c r="A17" s="1146" t="s">
        <v>310</v>
      </c>
      <c r="B17" s="1147" t="s">
        <v>512</v>
      </c>
      <c r="C17" s="1147" t="s">
        <v>513</v>
      </c>
      <c r="D17" s="1147" t="s">
        <v>521</v>
      </c>
      <c r="E17" s="1147" t="s">
        <v>522</v>
      </c>
      <c r="F17" s="1147" t="s">
        <v>523</v>
      </c>
      <c r="G17" s="1147" t="s">
        <v>524</v>
      </c>
      <c r="H17" s="1147" t="s">
        <v>514</v>
      </c>
      <c r="I17" s="1147" t="s">
        <v>525</v>
      </c>
      <c r="J17" s="1136"/>
      <c r="K17" s="1148"/>
      <c r="L17" s="1148"/>
      <c r="M17" s="1148"/>
      <c r="N17" s="1148"/>
      <c r="O17" s="1148"/>
      <c r="P17" s="1148"/>
      <c r="Q17" s="1148"/>
      <c r="R17" s="1148"/>
      <c r="S17" s="1148"/>
      <c r="T17" s="1148"/>
      <c r="U17" s="1148"/>
      <c r="V17" s="1148"/>
      <c r="W17" s="1148"/>
      <c r="X17" s="1148"/>
      <c r="Y17" s="1148"/>
      <c r="Z17" s="1148"/>
      <c r="AA17" s="1148"/>
      <c r="AB17" s="1148"/>
      <c r="AC17" s="1148"/>
      <c r="AD17" s="1148"/>
      <c r="AE17" s="1148"/>
      <c r="AF17" s="1148"/>
      <c r="AG17" s="1148"/>
      <c r="AH17" s="1148"/>
      <c r="AI17" s="1148"/>
      <c r="AJ17" s="1148"/>
      <c r="AK17" s="1148"/>
      <c r="AL17" s="1148"/>
      <c r="AM17" s="1148"/>
      <c r="AN17" s="1148"/>
      <c r="AO17" s="1148"/>
      <c r="AP17" s="1148"/>
      <c r="AQ17" s="1148"/>
      <c r="AR17" s="1148"/>
      <c r="AS17" s="1148"/>
      <c r="AT17" s="1148"/>
      <c r="AU17" s="1148"/>
      <c r="AV17" s="1148"/>
      <c r="AW17" s="1148"/>
      <c r="AX17" s="1148"/>
      <c r="AY17" s="1148"/>
      <c r="AZ17" s="1148"/>
      <c r="BA17" s="1148"/>
      <c r="BB17" s="1148"/>
      <c r="BC17" s="1148"/>
      <c r="BD17" s="1148"/>
      <c r="BE17" s="1148"/>
      <c r="BF17" s="1148"/>
      <c r="BG17" s="1148"/>
      <c r="BH17" s="1148"/>
      <c r="BI17" s="1148"/>
      <c r="BJ17" s="1148"/>
      <c r="BK17" s="1148"/>
      <c r="BL17" s="1148"/>
      <c r="BM17" s="1148"/>
      <c r="BN17" s="1148"/>
      <c r="BO17" s="1148"/>
      <c r="BP17" s="1148"/>
      <c r="BQ17" s="1148"/>
      <c r="BR17" s="1148"/>
      <c r="BS17" s="1148"/>
      <c r="BT17" s="1148"/>
      <c r="BU17" s="1148"/>
      <c r="BV17" s="1148"/>
      <c r="BW17" s="1148"/>
      <c r="BX17" s="1148"/>
      <c r="BY17" s="1148"/>
      <c r="BZ17" s="1148"/>
      <c r="CA17" s="1148"/>
      <c r="CB17" s="1148"/>
      <c r="CC17" s="1148"/>
      <c r="CD17" s="1148"/>
      <c r="CE17" s="1148"/>
      <c r="CF17" s="1148"/>
      <c r="CG17" s="1148"/>
      <c r="CH17" s="1148"/>
      <c r="CI17" s="1148"/>
      <c r="CJ17" s="1148"/>
      <c r="CK17" s="1148"/>
      <c r="CL17" s="1148"/>
      <c r="CM17" s="1148"/>
      <c r="CN17" s="1148"/>
      <c r="CO17" s="1148"/>
      <c r="CP17" s="1148"/>
      <c r="CQ17" s="1148"/>
      <c r="CR17" s="1148"/>
      <c r="CS17" s="1148"/>
      <c r="CT17" s="1148"/>
      <c r="CU17" s="1148"/>
      <c r="CV17" s="1148"/>
      <c r="CW17" s="1148"/>
      <c r="CX17" s="1148"/>
      <c r="CY17" s="1148"/>
      <c r="CZ17" s="1148"/>
      <c r="DA17" s="1148"/>
      <c r="DB17" s="1148"/>
      <c r="DC17" s="1148"/>
      <c r="DD17" s="1148"/>
      <c r="DE17" s="1148"/>
      <c r="DF17" s="1148"/>
      <c r="DG17" s="1148"/>
      <c r="DH17" s="1148"/>
      <c r="DI17" s="1148"/>
      <c r="DJ17" s="1148"/>
      <c r="DK17" s="1148"/>
      <c r="DL17" s="1148"/>
      <c r="DM17" s="1148"/>
      <c r="DN17" s="1148"/>
      <c r="DO17" s="1148"/>
      <c r="DP17" s="1148"/>
      <c r="DQ17" s="1148"/>
      <c r="DR17" s="1148"/>
      <c r="DS17" s="1148"/>
      <c r="DT17" s="1148"/>
      <c r="DU17" s="1148"/>
      <c r="DV17" s="1148"/>
      <c r="DW17" s="1148"/>
      <c r="DX17" s="1148"/>
      <c r="DY17" s="1148"/>
      <c r="DZ17" s="1148"/>
      <c r="EA17" s="1148"/>
      <c r="EB17" s="1148"/>
      <c r="EC17" s="1148"/>
      <c r="ED17" s="1148"/>
      <c r="EE17" s="1148"/>
      <c r="EF17" s="1148"/>
      <c r="EG17" s="1148"/>
      <c r="EH17" s="1148"/>
      <c r="EI17" s="1148"/>
      <c r="EJ17" s="1148"/>
      <c r="EK17" s="1148"/>
      <c r="EL17" s="1148"/>
      <c r="EM17" s="1148"/>
      <c r="EN17" s="1148"/>
      <c r="EO17" s="1148"/>
      <c r="EP17" s="1148"/>
      <c r="EQ17" s="1148"/>
      <c r="ER17" s="1148"/>
      <c r="ES17" s="1148"/>
      <c r="ET17" s="1148"/>
      <c r="EU17" s="1148"/>
      <c r="EV17" s="1148"/>
      <c r="EW17" s="1148"/>
      <c r="EX17" s="1148"/>
      <c r="EY17" s="1148"/>
      <c r="EZ17" s="1148"/>
      <c r="FA17" s="1148"/>
      <c r="FB17" s="1148"/>
      <c r="FC17" s="1148"/>
      <c r="FD17" s="1148"/>
      <c r="FE17" s="1148"/>
      <c r="FF17" s="1148"/>
      <c r="FG17" s="1148"/>
      <c r="FH17" s="1148"/>
      <c r="FI17" s="1148"/>
      <c r="FJ17" s="1148"/>
      <c r="FK17" s="1148"/>
      <c r="FL17" s="1148"/>
      <c r="FM17" s="1148"/>
      <c r="FN17" s="1148"/>
      <c r="FO17" s="1148"/>
      <c r="FP17" s="1148"/>
      <c r="FQ17" s="1148"/>
      <c r="FR17" s="1148"/>
      <c r="FS17" s="1148"/>
      <c r="FT17" s="1148"/>
      <c r="FU17" s="1148"/>
      <c r="FV17" s="1148"/>
      <c r="FW17" s="1148"/>
      <c r="FX17" s="1148"/>
      <c r="FY17" s="1148"/>
      <c r="FZ17" s="1148"/>
      <c r="GA17" s="1148"/>
      <c r="GB17" s="1148"/>
      <c r="GC17" s="1148"/>
      <c r="GD17" s="1148"/>
      <c r="GE17" s="1148"/>
      <c r="GF17" s="1148"/>
      <c r="GG17" s="1148"/>
      <c r="GH17" s="1148"/>
      <c r="GI17" s="1148"/>
      <c r="GJ17" s="1148"/>
      <c r="GK17" s="1148"/>
      <c r="GL17" s="1148"/>
      <c r="GM17" s="1148"/>
      <c r="GN17" s="1148"/>
      <c r="GO17" s="1148"/>
      <c r="GP17" s="1148"/>
      <c r="GQ17" s="1148"/>
      <c r="GR17" s="1148"/>
      <c r="GS17" s="1148"/>
      <c r="GT17" s="1148"/>
      <c r="GU17" s="1148"/>
      <c r="GV17" s="1148"/>
      <c r="GW17" s="1148"/>
      <c r="GX17" s="1148"/>
      <c r="GY17" s="1148"/>
      <c r="GZ17" s="1148"/>
      <c r="HA17" s="1148"/>
      <c r="HB17" s="1148"/>
      <c r="HC17" s="1148"/>
      <c r="HD17" s="1148"/>
      <c r="HE17" s="1148"/>
      <c r="HF17" s="1148"/>
      <c r="HG17" s="1148"/>
      <c r="HH17" s="1148"/>
      <c r="HI17" s="1148"/>
      <c r="HJ17" s="1148"/>
      <c r="HK17" s="1148"/>
      <c r="HL17" s="1148"/>
      <c r="HM17" s="1148"/>
      <c r="HN17" s="1148"/>
      <c r="HO17" s="1148"/>
      <c r="HP17" s="1148"/>
      <c r="HQ17" s="1148"/>
      <c r="HR17" s="1148"/>
      <c r="HS17" s="1148"/>
      <c r="HT17" s="1148"/>
      <c r="HU17" s="1148"/>
      <c r="HV17" s="1148"/>
      <c r="HW17" s="1148"/>
      <c r="HX17" s="1148"/>
      <c r="HY17" s="1148"/>
      <c r="HZ17" s="1148"/>
      <c r="IA17" s="1148"/>
      <c r="IB17" s="1148"/>
      <c r="IC17" s="1148"/>
      <c r="ID17" s="1148"/>
      <c r="IE17" s="1148"/>
      <c r="IF17" s="1148"/>
      <c r="IG17" s="1148"/>
      <c r="IH17" s="1148"/>
      <c r="II17" s="1148"/>
      <c r="IJ17" s="1148"/>
      <c r="IK17" s="1148"/>
      <c r="IL17" s="1148"/>
      <c r="IM17" s="1148"/>
      <c r="IN17" s="1148"/>
      <c r="IO17" s="1148"/>
      <c r="IP17" s="1148"/>
      <c r="IQ17" s="1148"/>
      <c r="IR17" s="1148"/>
      <c r="IS17" s="1148"/>
      <c r="IT17" s="1148"/>
      <c r="IU17" s="1148"/>
      <c r="IV17" s="1148"/>
    </row>
    <row r="18" spans="1:256">
      <c r="A18" s="1140">
        <f>+A14+1</f>
        <v>5</v>
      </c>
      <c r="B18" s="1137" t="s">
        <v>515</v>
      </c>
      <c r="C18" s="1149">
        <f>+H12</f>
        <v>0</v>
      </c>
      <c r="D18" s="1149">
        <f>C18</f>
        <v>0</v>
      </c>
      <c r="E18" s="1137"/>
      <c r="F18" s="964">
        <v>365</v>
      </c>
      <c r="G18" s="1150">
        <f>F18/$F$18</f>
        <v>1</v>
      </c>
      <c r="H18" s="1149">
        <f>C18*G18</f>
        <v>0</v>
      </c>
      <c r="I18" s="1149">
        <f>H18</f>
        <v>0</v>
      </c>
      <c r="J18" s="1136"/>
      <c r="K18" s="1136"/>
      <c r="L18" s="1136"/>
      <c r="M18" s="1136"/>
      <c r="N18" s="1136"/>
      <c r="O18" s="1136"/>
      <c r="P18" s="1136"/>
      <c r="Q18" s="1136"/>
      <c r="R18" s="1136"/>
      <c r="S18" s="1136"/>
      <c r="T18" s="1136"/>
      <c r="U18" s="1136"/>
      <c r="V18" s="1136"/>
      <c r="W18" s="1136"/>
      <c r="X18" s="1136"/>
      <c r="Y18" s="1136"/>
      <c r="Z18" s="1136"/>
      <c r="AA18" s="1136"/>
      <c r="AB18" s="1136"/>
      <c r="AC18" s="1136"/>
      <c r="AD18" s="1136"/>
      <c r="AE18" s="1136"/>
      <c r="AF18" s="1136"/>
      <c r="AG18" s="1136"/>
      <c r="AH18" s="1136"/>
      <c r="AI18" s="1136"/>
      <c r="AJ18" s="1136"/>
      <c r="AK18" s="1136"/>
      <c r="AL18" s="1136"/>
      <c r="AM18" s="1136"/>
      <c r="AN18" s="1136"/>
      <c r="AO18" s="1136"/>
      <c r="AP18" s="1136"/>
      <c r="AQ18" s="1136"/>
      <c r="AR18" s="1136"/>
      <c r="AS18" s="1136"/>
      <c r="AT18" s="1136"/>
      <c r="AU18" s="1136"/>
      <c r="AV18" s="1136"/>
      <c r="AW18" s="1136"/>
      <c r="AX18" s="1136"/>
      <c r="AY18" s="1136"/>
      <c r="AZ18" s="1136"/>
      <c r="BA18" s="1136"/>
      <c r="BB18" s="1136"/>
      <c r="BC18" s="1136"/>
      <c r="BD18" s="1136"/>
      <c r="BE18" s="1136"/>
      <c r="BF18" s="1136"/>
      <c r="BG18" s="1136"/>
      <c r="BH18" s="1136"/>
      <c r="BI18" s="1136"/>
      <c r="BJ18" s="1136"/>
      <c r="BK18" s="1136"/>
      <c r="BL18" s="1136"/>
      <c r="BM18" s="1136"/>
      <c r="BN18" s="1136"/>
      <c r="BO18" s="1136"/>
      <c r="BP18" s="1136"/>
      <c r="BQ18" s="1136"/>
      <c r="BR18" s="1136"/>
      <c r="BS18" s="1136"/>
      <c r="BT18" s="1136"/>
      <c r="BU18" s="1136"/>
      <c r="BV18" s="1136"/>
      <c r="BW18" s="1136"/>
      <c r="BX18" s="1136"/>
      <c r="BY18" s="1136"/>
      <c r="BZ18" s="1136"/>
      <c r="CA18" s="1136"/>
      <c r="CB18" s="1136"/>
      <c r="CC18" s="1136"/>
      <c r="CD18" s="1136"/>
      <c r="CE18" s="1136"/>
      <c r="CF18" s="1136"/>
      <c r="CG18" s="1136"/>
      <c r="CH18" s="1136"/>
      <c r="CI18" s="1136"/>
      <c r="CJ18" s="1136"/>
      <c r="CK18" s="1136"/>
      <c r="CL18" s="1136"/>
      <c r="CM18" s="1136"/>
      <c r="CN18" s="1136"/>
      <c r="CO18" s="1136"/>
      <c r="CP18" s="1136"/>
      <c r="CQ18" s="1136"/>
      <c r="CR18" s="1136"/>
      <c r="CS18" s="1136"/>
      <c r="CT18" s="1136"/>
      <c r="CU18" s="1136"/>
      <c r="CV18" s="1136"/>
      <c r="CW18" s="1136"/>
      <c r="CX18" s="1136"/>
      <c r="CY18" s="1136"/>
      <c r="CZ18" s="1136"/>
      <c r="DA18" s="1136"/>
      <c r="DB18" s="1136"/>
      <c r="DC18" s="1136"/>
      <c r="DD18" s="1136"/>
      <c r="DE18" s="1136"/>
      <c r="DF18" s="1136"/>
      <c r="DG18" s="1136"/>
      <c r="DH18" s="1136"/>
      <c r="DI18" s="1136"/>
      <c r="DJ18" s="1136"/>
      <c r="DK18" s="1136"/>
      <c r="DL18" s="1136"/>
      <c r="DM18" s="1136"/>
      <c r="DN18" s="1136"/>
      <c r="DO18" s="1136"/>
      <c r="DP18" s="1136"/>
      <c r="DQ18" s="1136"/>
      <c r="DR18" s="1136"/>
      <c r="DS18" s="1136"/>
      <c r="DT18" s="1136"/>
      <c r="DU18" s="1136"/>
      <c r="DV18" s="1136"/>
      <c r="DW18" s="1136"/>
      <c r="DX18" s="1136"/>
      <c r="DY18" s="1136"/>
      <c r="DZ18" s="1136"/>
      <c r="EA18" s="1136"/>
      <c r="EB18" s="1136"/>
      <c r="EC18" s="1136"/>
      <c r="ED18" s="1136"/>
      <c r="EE18" s="1136"/>
      <c r="EF18" s="1136"/>
      <c r="EG18" s="1136"/>
      <c r="EH18" s="1136"/>
      <c r="EI18" s="1136"/>
      <c r="EJ18" s="1136"/>
      <c r="EK18" s="1136"/>
      <c r="EL18" s="1136"/>
      <c r="EM18" s="1136"/>
      <c r="EN18" s="1136"/>
      <c r="EO18" s="1136"/>
      <c r="EP18" s="1136"/>
      <c r="EQ18" s="1136"/>
      <c r="ER18" s="1136"/>
      <c r="ES18" s="1136"/>
      <c r="ET18" s="1136"/>
      <c r="EU18" s="1136"/>
      <c r="EV18" s="1136"/>
      <c r="EW18" s="1136"/>
      <c r="EX18" s="1136"/>
      <c r="EY18" s="1136"/>
      <c r="EZ18" s="1136"/>
      <c r="FA18" s="1136"/>
      <c r="FB18" s="1136"/>
      <c r="FC18" s="1136"/>
      <c r="FD18" s="1136"/>
      <c r="FE18" s="1136"/>
      <c r="FF18" s="1136"/>
      <c r="FG18" s="1136"/>
      <c r="FH18" s="1136"/>
      <c r="FI18" s="1136"/>
      <c r="FJ18" s="1136"/>
      <c r="FK18" s="1136"/>
      <c r="FL18" s="1136"/>
      <c r="FM18" s="1136"/>
      <c r="FN18" s="1136"/>
      <c r="FO18" s="1136"/>
      <c r="FP18" s="1136"/>
      <c r="FQ18" s="1136"/>
      <c r="FR18" s="1136"/>
      <c r="FS18" s="1136"/>
      <c r="FT18" s="1136"/>
      <c r="FU18" s="1136"/>
      <c r="FV18" s="1136"/>
      <c r="FW18" s="1136"/>
      <c r="FX18" s="1136"/>
      <c r="FY18" s="1136"/>
      <c r="FZ18" s="1136"/>
      <c r="GA18" s="1136"/>
      <c r="GB18" s="1136"/>
      <c r="GC18" s="1136"/>
      <c r="GD18" s="1136"/>
      <c r="GE18" s="1136"/>
      <c r="GF18" s="1136"/>
      <c r="GG18" s="1136"/>
      <c r="GH18" s="1136"/>
      <c r="GI18" s="1136"/>
      <c r="GJ18" s="1136"/>
      <c r="GK18" s="1136"/>
      <c r="GL18" s="1136"/>
      <c r="GM18" s="1136"/>
      <c r="GN18" s="1136"/>
      <c r="GO18" s="1136"/>
      <c r="GP18" s="1136"/>
      <c r="GQ18" s="1136"/>
      <c r="GR18" s="1136"/>
      <c r="GS18" s="1136"/>
      <c r="GT18" s="1136"/>
      <c r="GU18" s="1136"/>
      <c r="GV18" s="1136"/>
      <c r="GW18" s="1136"/>
      <c r="GX18" s="1136"/>
      <c r="GY18" s="1136"/>
      <c r="GZ18" s="1136"/>
      <c r="HA18" s="1136"/>
      <c r="HB18" s="1136"/>
      <c r="HC18" s="1136"/>
      <c r="HD18" s="1136"/>
      <c r="HE18" s="1136"/>
      <c r="HF18" s="1136"/>
      <c r="HG18" s="1136"/>
      <c r="HH18" s="1136"/>
      <c r="HI18" s="1136"/>
      <c r="HJ18" s="1136"/>
      <c r="HK18" s="1136"/>
      <c r="HL18" s="1136"/>
      <c r="HM18" s="1136"/>
      <c r="HN18" s="1136"/>
      <c r="HO18" s="1136"/>
      <c r="HP18" s="1136"/>
      <c r="HQ18" s="1136"/>
      <c r="HR18" s="1136"/>
      <c r="HS18" s="1136"/>
      <c r="HT18" s="1136"/>
      <c r="HU18" s="1136"/>
      <c r="HV18" s="1136"/>
      <c r="HW18" s="1136"/>
      <c r="HX18" s="1136"/>
      <c r="HY18" s="1136"/>
      <c r="HZ18" s="1136"/>
      <c r="IA18" s="1136"/>
      <c r="IB18" s="1136"/>
      <c r="IC18" s="1136"/>
      <c r="ID18" s="1136"/>
      <c r="IE18" s="1136"/>
      <c r="IF18" s="1136"/>
      <c r="IG18" s="1136"/>
      <c r="IH18" s="1136"/>
      <c r="II18" s="1136"/>
      <c r="IJ18" s="1136"/>
      <c r="IK18" s="1136"/>
      <c r="IL18" s="1136"/>
      <c r="IM18" s="1136"/>
      <c r="IN18" s="1136"/>
      <c r="IO18" s="1136"/>
      <c r="IP18" s="1136"/>
      <c r="IQ18" s="1136"/>
      <c r="IR18" s="1136"/>
      <c r="IS18" s="1136"/>
      <c r="IT18" s="1136"/>
      <c r="IU18" s="1136"/>
      <c r="IV18" s="1136"/>
    </row>
    <row r="19" spans="1:256">
      <c r="A19" s="1140">
        <f>+A18+1</f>
        <v>6</v>
      </c>
      <c r="B19" s="1137" t="s">
        <v>516</v>
      </c>
      <c r="C19" s="1149">
        <f>+$H$14</f>
        <v>0</v>
      </c>
      <c r="D19" s="1149">
        <f>D18+C19</f>
        <v>0</v>
      </c>
      <c r="E19" s="1137">
        <v>31</v>
      </c>
      <c r="F19" s="964">
        <v>335</v>
      </c>
      <c r="G19" s="1150">
        <f t="shared" ref="G19:G30" si="0">F19/$F$18</f>
        <v>0.9178082191780822</v>
      </c>
      <c r="H19" s="1149">
        <f t="shared" ref="H19:H30" si="1">C19*G19</f>
        <v>0</v>
      </c>
      <c r="I19" s="1149">
        <f>I18+H19</f>
        <v>0</v>
      </c>
      <c r="J19" s="1136"/>
      <c r="K19" s="1136"/>
      <c r="L19" s="1136"/>
      <c r="M19" s="1136"/>
      <c r="N19" s="1136"/>
      <c r="O19" s="1136"/>
      <c r="P19" s="1136"/>
      <c r="Q19" s="1136"/>
      <c r="R19" s="1136"/>
      <c r="S19" s="1136"/>
      <c r="T19" s="1136"/>
      <c r="U19" s="1136"/>
      <c r="V19" s="1136"/>
      <c r="W19" s="1136"/>
      <c r="X19" s="1136"/>
      <c r="Y19" s="1136"/>
      <c r="Z19" s="1136"/>
      <c r="AA19" s="1136"/>
      <c r="AB19" s="1136"/>
      <c r="AC19" s="1136"/>
      <c r="AD19" s="1136"/>
      <c r="AE19" s="1136"/>
      <c r="AF19" s="1136"/>
      <c r="AG19" s="1136"/>
      <c r="AH19" s="1136"/>
      <c r="AI19" s="1136"/>
      <c r="AJ19" s="1136"/>
      <c r="AK19" s="1136"/>
      <c r="AL19" s="1136"/>
      <c r="AM19" s="1136"/>
      <c r="AN19" s="1136"/>
      <c r="AO19" s="1136"/>
      <c r="AP19" s="1136"/>
      <c r="AQ19" s="1136"/>
      <c r="AR19" s="1136"/>
      <c r="AS19" s="1136"/>
      <c r="AT19" s="1136"/>
      <c r="AU19" s="1136"/>
      <c r="AV19" s="1136"/>
      <c r="AW19" s="1136"/>
      <c r="AX19" s="1136"/>
      <c r="AY19" s="1136"/>
      <c r="AZ19" s="1136"/>
      <c r="BA19" s="1136"/>
      <c r="BB19" s="1136"/>
      <c r="BC19" s="1136"/>
      <c r="BD19" s="1136"/>
      <c r="BE19" s="1136"/>
      <c r="BF19" s="1136"/>
      <c r="BG19" s="1136"/>
      <c r="BH19" s="1136"/>
      <c r="BI19" s="1136"/>
      <c r="BJ19" s="1136"/>
      <c r="BK19" s="1136"/>
      <c r="BL19" s="1136"/>
      <c r="BM19" s="1136"/>
      <c r="BN19" s="1136"/>
      <c r="BO19" s="1136"/>
      <c r="BP19" s="1136"/>
      <c r="BQ19" s="1136"/>
      <c r="BR19" s="1136"/>
      <c r="BS19" s="1136"/>
      <c r="BT19" s="1136"/>
      <c r="BU19" s="1136"/>
      <c r="BV19" s="1136"/>
      <c r="BW19" s="1136"/>
      <c r="BX19" s="1136"/>
      <c r="BY19" s="1136"/>
      <c r="BZ19" s="1136"/>
      <c r="CA19" s="1136"/>
      <c r="CB19" s="1136"/>
      <c r="CC19" s="1136"/>
      <c r="CD19" s="1136"/>
      <c r="CE19" s="1136"/>
      <c r="CF19" s="1136"/>
      <c r="CG19" s="1136"/>
      <c r="CH19" s="1136"/>
      <c r="CI19" s="1136"/>
      <c r="CJ19" s="1136"/>
      <c r="CK19" s="1136"/>
      <c r="CL19" s="1136"/>
      <c r="CM19" s="1136"/>
      <c r="CN19" s="1136"/>
      <c r="CO19" s="1136"/>
      <c r="CP19" s="1136"/>
      <c r="CQ19" s="1136"/>
      <c r="CR19" s="1136"/>
      <c r="CS19" s="1136"/>
      <c r="CT19" s="1136"/>
      <c r="CU19" s="1136"/>
      <c r="CV19" s="1136"/>
      <c r="CW19" s="1136"/>
      <c r="CX19" s="1136"/>
      <c r="CY19" s="1136"/>
      <c r="CZ19" s="1136"/>
      <c r="DA19" s="1136"/>
      <c r="DB19" s="1136"/>
      <c r="DC19" s="1136"/>
      <c r="DD19" s="1136"/>
      <c r="DE19" s="1136"/>
      <c r="DF19" s="1136"/>
      <c r="DG19" s="1136"/>
      <c r="DH19" s="1136"/>
      <c r="DI19" s="1136"/>
      <c r="DJ19" s="1136"/>
      <c r="DK19" s="1136"/>
      <c r="DL19" s="1136"/>
      <c r="DM19" s="1136"/>
      <c r="DN19" s="1136"/>
      <c r="DO19" s="1136"/>
      <c r="DP19" s="1136"/>
      <c r="DQ19" s="1136"/>
      <c r="DR19" s="1136"/>
      <c r="DS19" s="1136"/>
      <c r="DT19" s="1136"/>
      <c r="DU19" s="1136"/>
      <c r="DV19" s="1136"/>
      <c r="DW19" s="1136"/>
      <c r="DX19" s="1136"/>
      <c r="DY19" s="1136"/>
      <c r="DZ19" s="1136"/>
      <c r="EA19" s="1136"/>
      <c r="EB19" s="1136"/>
      <c r="EC19" s="1136"/>
      <c r="ED19" s="1136"/>
      <c r="EE19" s="1136"/>
      <c r="EF19" s="1136"/>
      <c r="EG19" s="1136"/>
      <c r="EH19" s="1136"/>
      <c r="EI19" s="1136"/>
      <c r="EJ19" s="1136"/>
      <c r="EK19" s="1136"/>
      <c r="EL19" s="1136"/>
      <c r="EM19" s="1136"/>
      <c r="EN19" s="1136"/>
      <c r="EO19" s="1136"/>
      <c r="EP19" s="1136"/>
      <c r="EQ19" s="1136"/>
      <c r="ER19" s="1136"/>
      <c r="ES19" s="1136"/>
      <c r="ET19" s="1136"/>
      <c r="EU19" s="1136"/>
      <c r="EV19" s="1136"/>
      <c r="EW19" s="1136"/>
      <c r="EX19" s="1136"/>
      <c r="EY19" s="1136"/>
      <c r="EZ19" s="1136"/>
      <c r="FA19" s="1136"/>
      <c r="FB19" s="1136"/>
      <c r="FC19" s="1136"/>
      <c r="FD19" s="1136"/>
      <c r="FE19" s="1136"/>
      <c r="FF19" s="1136"/>
      <c r="FG19" s="1136"/>
      <c r="FH19" s="1136"/>
      <c r="FI19" s="1136"/>
      <c r="FJ19" s="1136"/>
      <c r="FK19" s="1136"/>
      <c r="FL19" s="1136"/>
      <c r="FM19" s="1136"/>
      <c r="FN19" s="1136"/>
      <c r="FO19" s="1136"/>
      <c r="FP19" s="1136"/>
      <c r="FQ19" s="1136"/>
      <c r="FR19" s="1136"/>
      <c r="FS19" s="1136"/>
      <c r="FT19" s="1136"/>
      <c r="FU19" s="1136"/>
      <c r="FV19" s="1136"/>
      <c r="FW19" s="1136"/>
      <c r="FX19" s="1136"/>
      <c r="FY19" s="1136"/>
      <c r="FZ19" s="1136"/>
      <c r="GA19" s="1136"/>
      <c r="GB19" s="1136"/>
      <c r="GC19" s="1136"/>
      <c r="GD19" s="1136"/>
      <c r="GE19" s="1136"/>
      <c r="GF19" s="1136"/>
      <c r="GG19" s="1136"/>
      <c r="GH19" s="1136"/>
      <c r="GI19" s="1136"/>
      <c r="GJ19" s="1136"/>
      <c r="GK19" s="1136"/>
      <c r="GL19" s="1136"/>
      <c r="GM19" s="1136"/>
      <c r="GN19" s="1136"/>
      <c r="GO19" s="1136"/>
      <c r="GP19" s="1136"/>
      <c r="GQ19" s="1136"/>
      <c r="GR19" s="1136"/>
      <c r="GS19" s="1136"/>
      <c r="GT19" s="1136"/>
      <c r="GU19" s="1136"/>
      <c r="GV19" s="1136"/>
      <c r="GW19" s="1136"/>
      <c r="GX19" s="1136"/>
      <c r="GY19" s="1136"/>
      <c r="GZ19" s="1136"/>
      <c r="HA19" s="1136"/>
      <c r="HB19" s="1136"/>
      <c r="HC19" s="1136"/>
      <c r="HD19" s="1136"/>
      <c r="HE19" s="1136"/>
      <c r="HF19" s="1136"/>
      <c r="HG19" s="1136"/>
      <c r="HH19" s="1136"/>
      <c r="HI19" s="1136"/>
      <c r="HJ19" s="1136"/>
      <c r="HK19" s="1136"/>
      <c r="HL19" s="1136"/>
      <c r="HM19" s="1136"/>
      <c r="HN19" s="1136"/>
      <c r="HO19" s="1136"/>
      <c r="HP19" s="1136"/>
      <c r="HQ19" s="1136"/>
      <c r="HR19" s="1136"/>
      <c r="HS19" s="1136"/>
      <c r="HT19" s="1136"/>
      <c r="HU19" s="1136"/>
      <c r="HV19" s="1136"/>
      <c r="HW19" s="1136"/>
      <c r="HX19" s="1136"/>
      <c r="HY19" s="1136"/>
      <c r="HZ19" s="1136"/>
      <c r="IA19" s="1136"/>
      <c r="IB19" s="1136"/>
      <c r="IC19" s="1136"/>
      <c r="ID19" s="1136"/>
      <c r="IE19" s="1136"/>
      <c r="IF19" s="1136"/>
      <c r="IG19" s="1136"/>
      <c r="IH19" s="1136"/>
      <c r="II19" s="1136"/>
      <c r="IJ19" s="1136"/>
      <c r="IK19" s="1136"/>
      <c r="IL19" s="1136"/>
      <c r="IM19" s="1136"/>
      <c r="IN19" s="1136"/>
      <c r="IO19" s="1136"/>
      <c r="IP19" s="1136"/>
      <c r="IQ19" s="1136"/>
      <c r="IR19" s="1136"/>
      <c r="IS19" s="1136"/>
      <c r="IT19" s="1136"/>
      <c r="IU19" s="1136"/>
      <c r="IV19" s="1136"/>
    </row>
    <row r="20" spans="1:256">
      <c r="A20" s="1140">
        <f t="shared" ref="A20:A30" si="2">+A19+1</f>
        <v>7</v>
      </c>
      <c r="B20" s="1137" t="s">
        <v>517</v>
      </c>
      <c r="C20" s="1149">
        <f t="shared" ref="C20:C30" si="3">+$H$14</f>
        <v>0</v>
      </c>
      <c r="D20" s="1149">
        <f>D19+C20</f>
        <v>0</v>
      </c>
      <c r="E20" s="964">
        <v>28</v>
      </c>
      <c r="F20" s="964">
        <v>307</v>
      </c>
      <c r="G20" s="1150">
        <f t="shared" si="0"/>
        <v>0.84109589041095889</v>
      </c>
      <c r="H20" s="1149">
        <f t="shared" si="1"/>
        <v>0</v>
      </c>
      <c r="I20" s="1149">
        <f t="shared" ref="I20:I30" si="4">I19+H20</f>
        <v>0</v>
      </c>
      <c r="J20" s="1136"/>
      <c r="K20" s="1136"/>
      <c r="L20" s="1136"/>
      <c r="M20" s="1136"/>
      <c r="N20" s="1136"/>
      <c r="O20" s="1136"/>
      <c r="P20" s="1136"/>
      <c r="Q20" s="1136"/>
      <c r="R20" s="1136"/>
      <c r="S20" s="1136"/>
      <c r="T20" s="1136"/>
      <c r="U20" s="1136"/>
      <c r="V20" s="1136"/>
      <c r="W20" s="1136"/>
      <c r="X20" s="1136"/>
      <c r="Y20" s="1136"/>
      <c r="Z20" s="1136"/>
      <c r="AA20" s="1136"/>
      <c r="AB20" s="1136"/>
      <c r="AC20" s="1136"/>
      <c r="AD20" s="1136"/>
      <c r="AE20" s="1136"/>
      <c r="AF20" s="1136"/>
      <c r="AG20" s="1136"/>
      <c r="AH20" s="1136"/>
      <c r="AI20" s="1136"/>
      <c r="AJ20" s="1136"/>
      <c r="AK20" s="1136"/>
      <c r="AL20" s="1136"/>
      <c r="AM20" s="1136"/>
      <c r="AN20" s="1136"/>
      <c r="AO20" s="1136"/>
      <c r="AP20" s="1136"/>
      <c r="AQ20" s="1136"/>
      <c r="AR20" s="1136"/>
      <c r="AS20" s="1136"/>
      <c r="AT20" s="1136"/>
      <c r="AU20" s="1136"/>
      <c r="AV20" s="1136"/>
      <c r="AW20" s="1136"/>
      <c r="AX20" s="1136"/>
      <c r="AY20" s="1136"/>
      <c r="AZ20" s="1136"/>
      <c r="BA20" s="1136"/>
      <c r="BB20" s="1136"/>
      <c r="BC20" s="1136"/>
      <c r="BD20" s="1136"/>
      <c r="BE20" s="1136"/>
      <c r="BF20" s="1136"/>
      <c r="BG20" s="1136"/>
      <c r="BH20" s="1136"/>
      <c r="BI20" s="1136"/>
      <c r="BJ20" s="1136"/>
      <c r="BK20" s="1136"/>
      <c r="BL20" s="1136"/>
      <c r="BM20" s="1136"/>
      <c r="BN20" s="1136"/>
      <c r="BO20" s="1136"/>
      <c r="BP20" s="1136"/>
      <c r="BQ20" s="1136"/>
      <c r="BR20" s="1136"/>
      <c r="BS20" s="1136"/>
      <c r="BT20" s="1136"/>
      <c r="BU20" s="1136"/>
      <c r="BV20" s="1136"/>
      <c r="BW20" s="1136"/>
      <c r="BX20" s="1136"/>
      <c r="BY20" s="1136"/>
      <c r="BZ20" s="1136"/>
      <c r="CA20" s="1136"/>
      <c r="CB20" s="1136"/>
      <c r="CC20" s="1136"/>
      <c r="CD20" s="1136"/>
      <c r="CE20" s="1136"/>
      <c r="CF20" s="1136"/>
      <c r="CG20" s="1136"/>
      <c r="CH20" s="1136"/>
      <c r="CI20" s="1136"/>
      <c r="CJ20" s="1136"/>
      <c r="CK20" s="1136"/>
      <c r="CL20" s="1136"/>
      <c r="CM20" s="1136"/>
      <c r="CN20" s="1136"/>
      <c r="CO20" s="1136"/>
      <c r="CP20" s="1136"/>
      <c r="CQ20" s="1136"/>
      <c r="CR20" s="1136"/>
      <c r="CS20" s="1136"/>
      <c r="CT20" s="1136"/>
      <c r="CU20" s="1136"/>
      <c r="CV20" s="1136"/>
      <c r="CW20" s="1136"/>
      <c r="CX20" s="1136"/>
      <c r="CY20" s="1136"/>
      <c r="CZ20" s="1136"/>
      <c r="DA20" s="1136"/>
      <c r="DB20" s="1136"/>
      <c r="DC20" s="1136"/>
      <c r="DD20" s="1136"/>
      <c r="DE20" s="1136"/>
      <c r="DF20" s="1136"/>
      <c r="DG20" s="1136"/>
      <c r="DH20" s="1136"/>
      <c r="DI20" s="1136"/>
      <c r="DJ20" s="1136"/>
      <c r="DK20" s="1136"/>
      <c r="DL20" s="1136"/>
      <c r="DM20" s="1136"/>
      <c r="DN20" s="1136"/>
      <c r="DO20" s="1136"/>
      <c r="DP20" s="1136"/>
      <c r="DQ20" s="1136"/>
      <c r="DR20" s="1136"/>
      <c r="DS20" s="1136"/>
      <c r="DT20" s="1136"/>
      <c r="DU20" s="1136"/>
      <c r="DV20" s="1136"/>
      <c r="DW20" s="1136"/>
      <c r="DX20" s="1136"/>
      <c r="DY20" s="1136"/>
      <c r="DZ20" s="1136"/>
      <c r="EA20" s="1136"/>
      <c r="EB20" s="1136"/>
      <c r="EC20" s="1136"/>
      <c r="ED20" s="1136"/>
      <c r="EE20" s="1136"/>
      <c r="EF20" s="1136"/>
      <c r="EG20" s="1136"/>
      <c r="EH20" s="1136"/>
      <c r="EI20" s="1136"/>
      <c r="EJ20" s="1136"/>
      <c r="EK20" s="1136"/>
      <c r="EL20" s="1136"/>
      <c r="EM20" s="1136"/>
      <c r="EN20" s="1136"/>
      <c r="EO20" s="1136"/>
      <c r="EP20" s="1136"/>
      <c r="EQ20" s="1136"/>
      <c r="ER20" s="1136"/>
      <c r="ES20" s="1136"/>
      <c r="ET20" s="1136"/>
      <c r="EU20" s="1136"/>
      <c r="EV20" s="1136"/>
      <c r="EW20" s="1136"/>
      <c r="EX20" s="1136"/>
      <c r="EY20" s="1136"/>
      <c r="EZ20" s="1136"/>
      <c r="FA20" s="1136"/>
      <c r="FB20" s="1136"/>
      <c r="FC20" s="1136"/>
      <c r="FD20" s="1136"/>
      <c r="FE20" s="1136"/>
      <c r="FF20" s="1136"/>
      <c r="FG20" s="1136"/>
      <c r="FH20" s="1136"/>
      <c r="FI20" s="1136"/>
      <c r="FJ20" s="1136"/>
      <c r="FK20" s="1136"/>
      <c r="FL20" s="1136"/>
      <c r="FM20" s="1136"/>
      <c r="FN20" s="1136"/>
      <c r="FO20" s="1136"/>
      <c r="FP20" s="1136"/>
      <c r="FQ20" s="1136"/>
      <c r="FR20" s="1136"/>
      <c r="FS20" s="1136"/>
      <c r="FT20" s="1136"/>
      <c r="FU20" s="1136"/>
      <c r="FV20" s="1136"/>
      <c r="FW20" s="1136"/>
      <c r="FX20" s="1136"/>
      <c r="FY20" s="1136"/>
      <c r="FZ20" s="1136"/>
      <c r="GA20" s="1136"/>
      <c r="GB20" s="1136"/>
      <c r="GC20" s="1136"/>
      <c r="GD20" s="1136"/>
      <c r="GE20" s="1136"/>
      <c r="GF20" s="1136"/>
      <c r="GG20" s="1136"/>
      <c r="GH20" s="1136"/>
      <c r="GI20" s="1136"/>
      <c r="GJ20" s="1136"/>
      <c r="GK20" s="1136"/>
      <c r="GL20" s="1136"/>
      <c r="GM20" s="1136"/>
      <c r="GN20" s="1136"/>
      <c r="GO20" s="1136"/>
      <c r="GP20" s="1136"/>
      <c r="GQ20" s="1136"/>
      <c r="GR20" s="1136"/>
      <c r="GS20" s="1136"/>
      <c r="GT20" s="1136"/>
      <c r="GU20" s="1136"/>
      <c r="GV20" s="1136"/>
      <c r="GW20" s="1136"/>
      <c r="GX20" s="1136"/>
      <c r="GY20" s="1136"/>
      <c r="GZ20" s="1136"/>
      <c r="HA20" s="1136"/>
      <c r="HB20" s="1136"/>
      <c r="HC20" s="1136"/>
      <c r="HD20" s="1136"/>
      <c r="HE20" s="1136"/>
      <c r="HF20" s="1136"/>
      <c r="HG20" s="1136"/>
      <c r="HH20" s="1136"/>
      <c r="HI20" s="1136"/>
      <c r="HJ20" s="1136"/>
      <c r="HK20" s="1136"/>
      <c r="HL20" s="1136"/>
      <c r="HM20" s="1136"/>
      <c r="HN20" s="1136"/>
      <c r="HO20" s="1136"/>
      <c r="HP20" s="1136"/>
      <c r="HQ20" s="1136"/>
      <c r="HR20" s="1136"/>
      <c r="HS20" s="1136"/>
      <c r="HT20" s="1136"/>
      <c r="HU20" s="1136"/>
      <c r="HV20" s="1136"/>
      <c r="HW20" s="1136"/>
      <c r="HX20" s="1136"/>
      <c r="HY20" s="1136"/>
      <c r="HZ20" s="1136"/>
      <c r="IA20" s="1136"/>
      <c r="IB20" s="1136"/>
      <c r="IC20" s="1136"/>
      <c r="ID20" s="1136"/>
      <c r="IE20" s="1136"/>
      <c r="IF20" s="1136"/>
      <c r="IG20" s="1136"/>
      <c r="IH20" s="1136"/>
      <c r="II20" s="1136"/>
      <c r="IJ20" s="1136"/>
      <c r="IK20" s="1136"/>
      <c r="IL20" s="1136"/>
      <c r="IM20" s="1136"/>
      <c r="IN20" s="1136"/>
      <c r="IO20" s="1136"/>
      <c r="IP20" s="1136"/>
      <c r="IQ20" s="1136"/>
      <c r="IR20" s="1136"/>
      <c r="IS20" s="1136"/>
      <c r="IT20" s="1136"/>
      <c r="IU20" s="1136"/>
      <c r="IV20" s="1136"/>
    </row>
    <row r="21" spans="1:256">
      <c r="A21" s="1140">
        <f t="shared" si="2"/>
        <v>8</v>
      </c>
      <c r="B21" s="1137" t="s">
        <v>325</v>
      </c>
      <c r="C21" s="1149">
        <f t="shared" si="3"/>
        <v>0</v>
      </c>
      <c r="D21" s="1149">
        <f>D20+C21</f>
        <v>0</v>
      </c>
      <c r="E21" s="1137">
        <v>31</v>
      </c>
      <c r="F21" s="964">
        <v>276</v>
      </c>
      <c r="G21" s="1150">
        <f t="shared" si="0"/>
        <v>0.75616438356164384</v>
      </c>
      <c r="H21" s="1149">
        <f t="shared" si="1"/>
        <v>0</v>
      </c>
      <c r="I21" s="1149">
        <f t="shared" si="4"/>
        <v>0</v>
      </c>
      <c r="J21" s="1136"/>
      <c r="K21" s="1136"/>
      <c r="L21" s="1136"/>
      <c r="M21" s="1136"/>
      <c r="N21" s="1136"/>
      <c r="O21" s="1136"/>
      <c r="P21" s="1136"/>
      <c r="Q21" s="1136"/>
      <c r="R21" s="1136"/>
      <c r="S21" s="1136"/>
      <c r="T21" s="1136"/>
      <c r="U21" s="1136"/>
      <c r="V21" s="1136"/>
      <c r="W21" s="1136"/>
      <c r="X21" s="1136"/>
      <c r="Y21" s="1136"/>
      <c r="Z21" s="1136"/>
      <c r="AA21" s="1136"/>
      <c r="AB21" s="1136"/>
      <c r="AC21" s="1136"/>
      <c r="AD21" s="1136"/>
      <c r="AE21" s="1136"/>
      <c r="AF21" s="1136"/>
      <c r="AG21" s="1136"/>
      <c r="AH21" s="1136"/>
      <c r="AI21" s="1136"/>
      <c r="AJ21" s="1136"/>
      <c r="AK21" s="1136"/>
      <c r="AL21" s="1136"/>
      <c r="AM21" s="1136"/>
      <c r="AN21" s="1136"/>
      <c r="AO21" s="1136"/>
      <c r="AP21" s="1136"/>
      <c r="AQ21" s="1136"/>
      <c r="AR21" s="1136"/>
      <c r="AS21" s="1136"/>
      <c r="AT21" s="1136"/>
      <c r="AU21" s="1136"/>
      <c r="AV21" s="1136"/>
      <c r="AW21" s="1136"/>
      <c r="AX21" s="1136"/>
      <c r="AY21" s="1136"/>
      <c r="AZ21" s="1136"/>
      <c r="BA21" s="1136"/>
      <c r="BB21" s="1136"/>
      <c r="BC21" s="1136"/>
      <c r="BD21" s="1136"/>
      <c r="BE21" s="1136"/>
      <c r="BF21" s="1136"/>
      <c r="BG21" s="1136"/>
      <c r="BH21" s="1136"/>
      <c r="BI21" s="1136"/>
      <c r="BJ21" s="1136"/>
      <c r="BK21" s="1136"/>
      <c r="BL21" s="1136"/>
      <c r="BM21" s="1136"/>
      <c r="BN21" s="1136"/>
      <c r="BO21" s="1136"/>
      <c r="BP21" s="1136"/>
      <c r="BQ21" s="1136"/>
      <c r="BR21" s="1136"/>
      <c r="BS21" s="1136"/>
      <c r="BT21" s="1136"/>
      <c r="BU21" s="1136"/>
      <c r="BV21" s="1136"/>
      <c r="BW21" s="1136"/>
      <c r="BX21" s="1136"/>
      <c r="BY21" s="1136"/>
      <c r="BZ21" s="1136"/>
      <c r="CA21" s="1136"/>
      <c r="CB21" s="1136"/>
      <c r="CC21" s="1136"/>
      <c r="CD21" s="1136"/>
      <c r="CE21" s="1136"/>
      <c r="CF21" s="1136"/>
      <c r="CG21" s="1136"/>
      <c r="CH21" s="1136"/>
      <c r="CI21" s="1136"/>
      <c r="CJ21" s="1136"/>
      <c r="CK21" s="1136"/>
      <c r="CL21" s="1136"/>
      <c r="CM21" s="1136"/>
      <c r="CN21" s="1136"/>
      <c r="CO21" s="1136"/>
      <c r="CP21" s="1136"/>
      <c r="CQ21" s="1136"/>
      <c r="CR21" s="1136"/>
      <c r="CS21" s="1136"/>
      <c r="CT21" s="1136"/>
      <c r="CU21" s="1136"/>
      <c r="CV21" s="1136"/>
      <c r="CW21" s="1136"/>
      <c r="CX21" s="1136"/>
      <c r="CY21" s="1136"/>
      <c r="CZ21" s="1136"/>
      <c r="DA21" s="1136"/>
      <c r="DB21" s="1136"/>
      <c r="DC21" s="1136"/>
      <c r="DD21" s="1136"/>
      <c r="DE21" s="1136"/>
      <c r="DF21" s="1136"/>
      <c r="DG21" s="1136"/>
      <c r="DH21" s="1136"/>
      <c r="DI21" s="1136"/>
      <c r="DJ21" s="1136"/>
      <c r="DK21" s="1136"/>
      <c r="DL21" s="1136"/>
      <c r="DM21" s="1136"/>
      <c r="DN21" s="1136"/>
      <c r="DO21" s="1136"/>
      <c r="DP21" s="1136"/>
      <c r="DQ21" s="1136"/>
      <c r="DR21" s="1136"/>
      <c r="DS21" s="1136"/>
      <c r="DT21" s="1136"/>
      <c r="DU21" s="1136"/>
      <c r="DV21" s="1136"/>
      <c r="DW21" s="1136"/>
      <c r="DX21" s="1136"/>
      <c r="DY21" s="1136"/>
      <c r="DZ21" s="1136"/>
      <c r="EA21" s="1136"/>
      <c r="EB21" s="1136"/>
      <c r="EC21" s="1136"/>
      <c r="ED21" s="1136"/>
      <c r="EE21" s="1136"/>
      <c r="EF21" s="1136"/>
      <c r="EG21" s="1136"/>
      <c r="EH21" s="1136"/>
      <c r="EI21" s="1136"/>
      <c r="EJ21" s="1136"/>
      <c r="EK21" s="1136"/>
      <c r="EL21" s="1136"/>
      <c r="EM21" s="1136"/>
      <c r="EN21" s="1136"/>
      <c r="EO21" s="1136"/>
      <c r="EP21" s="1136"/>
      <c r="EQ21" s="1136"/>
      <c r="ER21" s="1136"/>
      <c r="ES21" s="1136"/>
      <c r="ET21" s="1136"/>
      <c r="EU21" s="1136"/>
      <c r="EV21" s="1136"/>
      <c r="EW21" s="1136"/>
      <c r="EX21" s="1136"/>
      <c r="EY21" s="1136"/>
      <c r="EZ21" s="1136"/>
      <c r="FA21" s="1136"/>
      <c r="FB21" s="1136"/>
      <c r="FC21" s="1136"/>
      <c r="FD21" s="1136"/>
      <c r="FE21" s="1136"/>
      <c r="FF21" s="1136"/>
      <c r="FG21" s="1136"/>
      <c r="FH21" s="1136"/>
      <c r="FI21" s="1136"/>
      <c r="FJ21" s="1136"/>
      <c r="FK21" s="1136"/>
      <c r="FL21" s="1136"/>
      <c r="FM21" s="1136"/>
      <c r="FN21" s="1136"/>
      <c r="FO21" s="1136"/>
      <c r="FP21" s="1136"/>
      <c r="FQ21" s="1136"/>
      <c r="FR21" s="1136"/>
      <c r="FS21" s="1136"/>
      <c r="FT21" s="1136"/>
      <c r="FU21" s="1136"/>
      <c r="FV21" s="1136"/>
      <c r="FW21" s="1136"/>
      <c r="FX21" s="1136"/>
      <c r="FY21" s="1136"/>
      <c r="FZ21" s="1136"/>
      <c r="GA21" s="1136"/>
      <c r="GB21" s="1136"/>
      <c r="GC21" s="1136"/>
      <c r="GD21" s="1136"/>
      <c r="GE21" s="1136"/>
      <c r="GF21" s="1136"/>
      <c r="GG21" s="1136"/>
      <c r="GH21" s="1136"/>
      <c r="GI21" s="1136"/>
      <c r="GJ21" s="1136"/>
      <c r="GK21" s="1136"/>
      <c r="GL21" s="1136"/>
      <c r="GM21" s="1136"/>
      <c r="GN21" s="1136"/>
      <c r="GO21" s="1136"/>
      <c r="GP21" s="1136"/>
      <c r="GQ21" s="1136"/>
      <c r="GR21" s="1136"/>
      <c r="GS21" s="1136"/>
      <c r="GT21" s="1136"/>
      <c r="GU21" s="1136"/>
      <c r="GV21" s="1136"/>
      <c r="GW21" s="1136"/>
      <c r="GX21" s="1136"/>
      <c r="GY21" s="1136"/>
      <c r="GZ21" s="1136"/>
      <c r="HA21" s="1136"/>
      <c r="HB21" s="1136"/>
      <c r="HC21" s="1136"/>
      <c r="HD21" s="1136"/>
      <c r="HE21" s="1136"/>
      <c r="HF21" s="1136"/>
      <c r="HG21" s="1136"/>
      <c r="HH21" s="1136"/>
      <c r="HI21" s="1136"/>
      <c r="HJ21" s="1136"/>
      <c r="HK21" s="1136"/>
      <c r="HL21" s="1136"/>
      <c r="HM21" s="1136"/>
      <c r="HN21" s="1136"/>
      <c r="HO21" s="1136"/>
      <c r="HP21" s="1136"/>
      <c r="HQ21" s="1136"/>
      <c r="HR21" s="1136"/>
      <c r="HS21" s="1136"/>
      <c r="HT21" s="1136"/>
      <c r="HU21" s="1136"/>
      <c r="HV21" s="1136"/>
      <c r="HW21" s="1136"/>
      <c r="HX21" s="1136"/>
      <c r="HY21" s="1136"/>
      <c r="HZ21" s="1136"/>
      <c r="IA21" s="1136"/>
      <c r="IB21" s="1136"/>
      <c r="IC21" s="1136"/>
      <c r="ID21" s="1136"/>
      <c r="IE21" s="1136"/>
      <c r="IF21" s="1136"/>
      <c r="IG21" s="1136"/>
      <c r="IH21" s="1136"/>
      <c r="II21" s="1136"/>
      <c r="IJ21" s="1136"/>
      <c r="IK21" s="1136"/>
      <c r="IL21" s="1136"/>
      <c r="IM21" s="1136"/>
      <c r="IN21" s="1136"/>
      <c r="IO21" s="1136"/>
      <c r="IP21" s="1136"/>
      <c r="IQ21" s="1136"/>
      <c r="IR21" s="1136"/>
      <c r="IS21" s="1136"/>
      <c r="IT21" s="1136"/>
      <c r="IU21" s="1136"/>
      <c r="IV21" s="1136"/>
    </row>
    <row r="22" spans="1:256">
      <c r="A22" s="1140">
        <f t="shared" si="2"/>
        <v>9</v>
      </c>
      <c r="B22" s="1137" t="s">
        <v>326</v>
      </c>
      <c r="C22" s="1149">
        <f t="shared" si="3"/>
        <v>0</v>
      </c>
      <c r="D22" s="1149">
        <f t="shared" ref="D22:D30" si="5">D21+C22</f>
        <v>0</v>
      </c>
      <c r="E22" s="1137">
        <v>30</v>
      </c>
      <c r="F22" s="964">
        <v>246</v>
      </c>
      <c r="G22" s="1150">
        <f t="shared" si="0"/>
        <v>0.67397260273972603</v>
      </c>
      <c r="H22" s="1149">
        <f t="shared" si="1"/>
        <v>0</v>
      </c>
      <c r="I22" s="1149">
        <f t="shared" si="4"/>
        <v>0</v>
      </c>
      <c r="J22" s="1136"/>
      <c r="K22" s="1136"/>
      <c r="L22" s="1136"/>
      <c r="M22" s="1136"/>
      <c r="N22" s="1136"/>
      <c r="O22" s="1136"/>
      <c r="P22" s="1136"/>
      <c r="Q22" s="1136"/>
      <c r="R22" s="1136"/>
      <c r="S22" s="1136"/>
      <c r="T22" s="1136"/>
      <c r="U22" s="1136"/>
      <c r="V22" s="1136"/>
      <c r="W22" s="1136"/>
      <c r="X22" s="1136"/>
      <c r="Y22" s="1136"/>
      <c r="Z22" s="1136"/>
      <c r="AA22" s="1136"/>
      <c r="AB22" s="1136"/>
      <c r="AC22" s="1136"/>
      <c r="AD22" s="1136"/>
      <c r="AE22" s="1136"/>
      <c r="AF22" s="1136"/>
      <c r="AG22" s="1136"/>
      <c r="AH22" s="1136"/>
      <c r="AI22" s="1136"/>
      <c r="AJ22" s="1136"/>
      <c r="AK22" s="1136"/>
      <c r="AL22" s="1136"/>
      <c r="AM22" s="1136"/>
      <c r="AN22" s="1136"/>
      <c r="AO22" s="1136"/>
      <c r="AP22" s="1136"/>
      <c r="AQ22" s="1136"/>
      <c r="AR22" s="1136"/>
      <c r="AS22" s="1136"/>
      <c r="AT22" s="1136"/>
      <c r="AU22" s="1136"/>
      <c r="AV22" s="1136"/>
      <c r="AW22" s="1136"/>
      <c r="AX22" s="1136"/>
      <c r="AY22" s="1136"/>
      <c r="AZ22" s="1136"/>
      <c r="BA22" s="1136"/>
      <c r="BB22" s="1136"/>
      <c r="BC22" s="1136"/>
      <c r="BD22" s="1136"/>
      <c r="BE22" s="1136"/>
      <c r="BF22" s="1136"/>
      <c r="BG22" s="1136"/>
      <c r="BH22" s="1136"/>
      <c r="BI22" s="1136"/>
      <c r="BJ22" s="1136"/>
      <c r="BK22" s="1136"/>
      <c r="BL22" s="1136"/>
      <c r="BM22" s="1136"/>
      <c r="BN22" s="1136"/>
      <c r="BO22" s="1136"/>
      <c r="BP22" s="1136"/>
      <c r="BQ22" s="1136"/>
      <c r="BR22" s="1136"/>
      <c r="BS22" s="1136"/>
      <c r="BT22" s="1136"/>
      <c r="BU22" s="1136"/>
      <c r="BV22" s="1136"/>
      <c r="BW22" s="1136"/>
      <c r="BX22" s="1136"/>
      <c r="BY22" s="1136"/>
      <c r="BZ22" s="1136"/>
      <c r="CA22" s="1136"/>
      <c r="CB22" s="1136"/>
      <c r="CC22" s="1136"/>
      <c r="CD22" s="1136"/>
      <c r="CE22" s="1136"/>
      <c r="CF22" s="1136"/>
      <c r="CG22" s="1136"/>
      <c r="CH22" s="1136"/>
      <c r="CI22" s="1136"/>
      <c r="CJ22" s="1136"/>
      <c r="CK22" s="1136"/>
      <c r="CL22" s="1136"/>
      <c r="CM22" s="1136"/>
      <c r="CN22" s="1136"/>
      <c r="CO22" s="1136"/>
      <c r="CP22" s="1136"/>
      <c r="CQ22" s="1136"/>
      <c r="CR22" s="1136"/>
      <c r="CS22" s="1136"/>
      <c r="CT22" s="1136"/>
      <c r="CU22" s="1136"/>
      <c r="CV22" s="1136"/>
      <c r="CW22" s="1136"/>
      <c r="CX22" s="1136"/>
      <c r="CY22" s="1136"/>
      <c r="CZ22" s="1136"/>
      <c r="DA22" s="1136"/>
      <c r="DB22" s="1136"/>
      <c r="DC22" s="1136"/>
      <c r="DD22" s="1136"/>
      <c r="DE22" s="1136"/>
      <c r="DF22" s="1136"/>
      <c r="DG22" s="1136"/>
      <c r="DH22" s="1136"/>
      <c r="DI22" s="1136"/>
      <c r="DJ22" s="1136"/>
      <c r="DK22" s="1136"/>
      <c r="DL22" s="1136"/>
      <c r="DM22" s="1136"/>
      <c r="DN22" s="1136"/>
      <c r="DO22" s="1136"/>
      <c r="DP22" s="1136"/>
      <c r="DQ22" s="1136"/>
      <c r="DR22" s="1136"/>
      <c r="DS22" s="1136"/>
      <c r="DT22" s="1136"/>
      <c r="DU22" s="1136"/>
      <c r="DV22" s="1136"/>
      <c r="DW22" s="1136"/>
      <c r="DX22" s="1136"/>
      <c r="DY22" s="1136"/>
      <c r="DZ22" s="1136"/>
      <c r="EA22" s="1136"/>
      <c r="EB22" s="1136"/>
      <c r="EC22" s="1136"/>
      <c r="ED22" s="1136"/>
      <c r="EE22" s="1136"/>
      <c r="EF22" s="1136"/>
      <c r="EG22" s="1136"/>
      <c r="EH22" s="1136"/>
      <c r="EI22" s="1136"/>
      <c r="EJ22" s="1136"/>
      <c r="EK22" s="1136"/>
      <c r="EL22" s="1136"/>
      <c r="EM22" s="1136"/>
      <c r="EN22" s="1136"/>
      <c r="EO22" s="1136"/>
      <c r="EP22" s="1136"/>
      <c r="EQ22" s="1136"/>
      <c r="ER22" s="1136"/>
      <c r="ES22" s="1136"/>
      <c r="ET22" s="1136"/>
      <c r="EU22" s="1136"/>
      <c r="EV22" s="1136"/>
      <c r="EW22" s="1136"/>
      <c r="EX22" s="1136"/>
      <c r="EY22" s="1136"/>
      <c r="EZ22" s="1136"/>
      <c r="FA22" s="1136"/>
      <c r="FB22" s="1136"/>
      <c r="FC22" s="1136"/>
      <c r="FD22" s="1136"/>
      <c r="FE22" s="1136"/>
      <c r="FF22" s="1136"/>
      <c r="FG22" s="1136"/>
      <c r="FH22" s="1136"/>
      <c r="FI22" s="1136"/>
      <c r="FJ22" s="1136"/>
      <c r="FK22" s="1136"/>
      <c r="FL22" s="1136"/>
      <c r="FM22" s="1136"/>
      <c r="FN22" s="1136"/>
      <c r="FO22" s="1136"/>
      <c r="FP22" s="1136"/>
      <c r="FQ22" s="1136"/>
      <c r="FR22" s="1136"/>
      <c r="FS22" s="1136"/>
      <c r="FT22" s="1136"/>
      <c r="FU22" s="1136"/>
      <c r="FV22" s="1136"/>
      <c r="FW22" s="1136"/>
      <c r="FX22" s="1136"/>
      <c r="FY22" s="1136"/>
      <c r="FZ22" s="1136"/>
      <c r="GA22" s="1136"/>
      <c r="GB22" s="1136"/>
      <c r="GC22" s="1136"/>
      <c r="GD22" s="1136"/>
      <c r="GE22" s="1136"/>
      <c r="GF22" s="1136"/>
      <c r="GG22" s="1136"/>
      <c r="GH22" s="1136"/>
      <c r="GI22" s="1136"/>
      <c r="GJ22" s="1136"/>
      <c r="GK22" s="1136"/>
      <c r="GL22" s="1136"/>
      <c r="GM22" s="1136"/>
      <c r="GN22" s="1136"/>
      <c r="GO22" s="1136"/>
      <c r="GP22" s="1136"/>
      <c r="GQ22" s="1136"/>
      <c r="GR22" s="1136"/>
      <c r="GS22" s="1136"/>
      <c r="GT22" s="1136"/>
      <c r="GU22" s="1136"/>
      <c r="GV22" s="1136"/>
      <c r="GW22" s="1136"/>
      <c r="GX22" s="1136"/>
      <c r="GY22" s="1136"/>
      <c r="GZ22" s="1136"/>
      <c r="HA22" s="1136"/>
      <c r="HB22" s="1136"/>
      <c r="HC22" s="1136"/>
      <c r="HD22" s="1136"/>
      <c r="HE22" s="1136"/>
      <c r="HF22" s="1136"/>
      <c r="HG22" s="1136"/>
      <c r="HH22" s="1136"/>
      <c r="HI22" s="1136"/>
      <c r="HJ22" s="1136"/>
      <c r="HK22" s="1136"/>
      <c r="HL22" s="1136"/>
      <c r="HM22" s="1136"/>
      <c r="HN22" s="1136"/>
      <c r="HO22" s="1136"/>
      <c r="HP22" s="1136"/>
      <c r="HQ22" s="1136"/>
      <c r="HR22" s="1136"/>
      <c r="HS22" s="1136"/>
      <c r="HT22" s="1136"/>
      <c r="HU22" s="1136"/>
      <c r="HV22" s="1136"/>
      <c r="HW22" s="1136"/>
      <c r="HX22" s="1136"/>
      <c r="HY22" s="1136"/>
      <c r="HZ22" s="1136"/>
      <c r="IA22" s="1136"/>
      <c r="IB22" s="1136"/>
      <c r="IC22" s="1136"/>
      <c r="ID22" s="1136"/>
      <c r="IE22" s="1136"/>
      <c r="IF22" s="1136"/>
      <c r="IG22" s="1136"/>
      <c r="IH22" s="1136"/>
      <c r="II22" s="1136"/>
      <c r="IJ22" s="1136"/>
      <c r="IK22" s="1136"/>
      <c r="IL22" s="1136"/>
      <c r="IM22" s="1136"/>
      <c r="IN22" s="1136"/>
      <c r="IO22" s="1136"/>
      <c r="IP22" s="1136"/>
      <c r="IQ22" s="1136"/>
      <c r="IR22" s="1136"/>
      <c r="IS22" s="1136"/>
      <c r="IT22" s="1136"/>
      <c r="IU22" s="1136"/>
      <c r="IV22" s="1136"/>
    </row>
    <row r="23" spans="1:256">
      <c r="A23" s="1140">
        <f t="shared" si="2"/>
        <v>10</v>
      </c>
      <c r="B23" s="1137" t="s">
        <v>327</v>
      </c>
      <c r="C23" s="1149">
        <f t="shared" si="3"/>
        <v>0</v>
      </c>
      <c r="D23" s="1149">
        <f t="shared" si="5"/>
        <v>0</v>
      </c>
      <c r="E23" s="1137">
        <v>31</v>
      </c>
      <c r="F23" s="964">
        <v>215</v>
      </c>
      <c r="G23" s="1150">
        <f t="shared" si="0"/>
        <v>0.58904109589041098</v>
      </c>
      <c r="H23" s="1149">
        <f t="shared" si="1"/>
        <v>0</v>
      </c>
      <c r="I23" s="1149">
        <f>I22+H23</f>
        <v>0</v>
      </c>
      <c r="J23" s="1136"/>
      <c r="K23" s="1136"/>
      <c r="L23" s="1136"/>
      <c r="M23" s="1136"/>
      <c r="N23" s="1136"/>
      <c r="O23" s="1136"/>
      <c r="P23" s="1136"/>
      <c r="Q23" s="1136"/>
      <c r="R23" s="1136"/>
      <c r="S23" s="1136"/>
      <c r="T23" s="1136"/>
      <c r="U23" s="1136"/>
      <c r="V23" s="1136"/>
      <c r="W23" s="1136"/>
      <c r="X23" s="1136"/>
      <c r="Y23" s="1136"/>
      <c r="Z23" s="1136"/>
      <c r="AA23" s="1136"/>
      <c r="AB23" s="1136"/>
      <c r="AC23" s="1136"/>
      <c r="AD23" s="1136"/>
      <c r="AE23" s="1136"/>
      <c r="AF23" s="1136"/>
      <c r="AG23" s="1136"/>
      <c r="AH23" s="1136"/>
      <c r="AI23" s="1136"/>
      <c r="AJ23" s="1136"/>
      <c r="AK23" s="1136"/>
      <c r="AL23" s="1136"/>
      <c r="AM23" s="1136"/>
      <c r="AN23" s="1136"/>
      <c r="AO23" s="1136"/>
      <c r="AP23" s="1136"/>
      <c r="AQ23" s="1136"/>
      <c r="AR23" s="1136"/>
      <c r="AS23" s="1136"/>
      <c r="AT23" s="1136"/>
      <c r="AU23" s="1136"/>
      <c r="AV23" s="1136"/>
      <c r="AW23" s="1136"/>
      <c r="AX23" s="1136"/>
      <c r="AY23" s="1136"/>
      <c r="AZ23" s="1136"/>
      <c r="BA23" s="1136"/>
      <c r="BB23" s="1136"/>
      <c r="BC23" s="1136"/>
      <c r="BD23" s="1136"/>
      <c r="BE23" s="1136"/>
      <c r="BF23" s="1136"/>
      <c r="BG23" s="1136"/>
      <c r="BH23" s="1136"/>
      <c r="BI23" s="1136"/>
      <c r="BJ23" s="1136"/>
      <c r="BK23" s="1136"/>
      <c r="BL23" s="1136"/>
      <c r="BM23" s="1136"/>
      <c r="BN23" s="1136"/>
      <c r="BO23" s="1136"/>
      <c r="BP23" s="1136"/>
      <c r="BQ23" s="1136"/>
      <c r="BR23" s="1136"/>
      <c r="BS23" s="1136"/>
      <c r="BT23" s="1136"/>
      <c r="BU23" s="1136"/>
      <c r="BV23" s="1136"/>
      <c r="BW23" s="1136"/>
      <c r="BX23" s="1136"/>
      <c r="BY23" s="1136"/>
      <c r="BZ23" s="1136"/>
      <c r="CA23" s="1136"/>
      <c r="CB23" s="1136"/>
      <c r="CC23" s="1136"/>
      <c r="CD23" s="1136"/>
      <c r="CE23" s="1136"/>
      <c r="CF23" s="1136"/>
      <c r="CG23" s="1136"/>
      <c r="CH23" s="1136"/>
      <c r="CI23" s="1136"/>
      <c r="CJ23" s="1136"/>
      <c r="CK23" s="1136"/>
      <c r="CL23" s="1136"/>
      <c r="CM23" s="1136"/>
      <c r="CN23" s="1136"/>
      <c r="CO23" s="1136"/>
      <c r="CP23" s="1136"/>
      <c r="CQ23" s="1136"/>
      <c r="CR23" s="1136"/>
      <c r="CS23" s="1136"/>
      <c r="CT23" s="1136"/>
      <c r="CU23" s="1136"/>
      <c r="CV23" s="1136"/>
      <c r="CW23" s="1136"/>
      <c r="CX23" s="1136"/>
      <c r="CY23" s="1136"/>
      <c r="CZ23" s="1136"/>
      <c r="DA23" s="1136"/>
      <c r="DB23" s="1136"/>
      <c r="DC23" s="1136"/>
      <c r="DD23" s="1136"/>
      <c r="DE23" s="1136"/>
      <c r="DF23" s="1136"/>
      <c r="DG23" s="1136"/>
      <c r="DH23" s="1136"/>
      <c r="DI23" s="1136"/>
      <c r="DJ23" s="1136"/>
      <c r="DK23" s="1136"/>
      <c r="DL23" s="1136"/>
      <c r="DM23" s="1136"/>
      <c r="DN23" s="1136"/>
      <c r="DO23" s="1136"/>
      <c r="DP23" s="1136"/>
      <c r="DQ23" s="1136"/>
      <c r="DR23" s="1136"/>
      <c r="DS23" s="1136"/>
      <c r="DT23" s="1136"/>
      <c r="DU23" s="1136"/>
      <c r="DV23" s="1136"/>
      <c r="DW23" s="1136"/>
      <c r="DX23" s="1136"/>
      <c r="DY23" s="1136"/>
      <c r="DZ23" s="1136"/>
      <c r="EA23" s="1136"/>
      <c r="EB23" s="1136"/>
      <c r="EC23" s="1136"/>
      <c r="ED23" s="1136"/>
      <c r="EE23" s="1136"/>
      <c r="EF23" s="1136"/>
      <c r="EG23" s="1136"/>
      <c r="EH23" s="1136"/>
      <c r="EI23" s="1136"/>
      <c r="EJ23" s="1136"/>
      <c r="EK23" s="1136"/>
      <c r="EL23" s="1136"/>
      <c r="EM23" s="1136"/>
      <c r="EN23" s="1136"/>
      <c r="EO23" s="1136"/>
      <c r="EP23" s="1136"/>
      <c r="EQ23" s="1136"/>
      <c r="ER23" s="1136"/>
      <c r="ES23" s="1136"/>
      <c r="ET23" s="1136"/>
      <c r="EU23" s="1136"/>
      <c r="EV23" s="1136"/>
      <c r="EW23" s="1136"/>
      <c r="EX23" s="1136"/>
      <c r="EY23" s="1136"/>
      <c r="EZ23" s="1136"/>
      <c r="FA23" s="1136"/>
      <c r="FB23" s="1136"/>
      <c r="FC23" s="1136"/>
      <c r="FD23" s="1136"/>
      <c r="FE23" s="1136"/>
      <c r="FF23" s="1136"/>
      <c r="FG23" s="1136"/>
      <c r="FH23" s="1136"/>
      <c r="FI23" s="1136"/>
      <c r="FJ23" s="1136"/>
      <c r="FK23" s="1136"/>
      <c r="FL23" s="1136"/>
      <c r="FM23" s="1136"/>
      <c r="FN23" s="1136"/>
      <c r="FO23" s="1136"/>
      <c r="FP23" s="1136"/>
      <c r="FQ23" s="1136"/>
      <c r="FR23" s="1136"/>
      <c r="FS23" s="1136"/>
      <c r="FT23" s="1136"/>
      <c r="FU23" s="1136"/>
      <c r="FV23" s="1136"/>
      <c r="FW23" s="1136"/>
      <c r="FX23" s="1136"/>
      <c r="FY23" s="1136"/>
      <c r="FZ23" s="1136"/>
      <c r="GA23" s="1136"/>
      <c r="GB23" s="1136"/>
      <c r="GC23" s="1136"/>
      <c r="GD23" s="1136"/>
      <c r="GE23" s="1136"/>
      <c r="GF23" s="1136"/>
      <c r="GG23" s="1136"/>
      <c r="GH23" s="1136"/>
      <c r="GI23" s="1136"/>
      <c r="GJ23" s="1136"/>
      <c r="GK23" s="1136"/>
      <c r="GL23" s="1136"/>
      <c r="GM23" s="1136"/>
      <c r="GN23" s="1136"/>
      <c r="GO23" s="1136"/>
      <c r="GP23" s="1136"/>
      <c r="GQ23" s="1136"/>
      <c r="GR23" s="1136"/>
      <c r="GS23" s="1136"/>
      <c r="GT23" s="1136"/>
      <c r="GU23" s="1136"/>
      <c r="GV23" s="1136"/>
      <c r="GW23" s="1136"/>
      <c r="GX23" s="1136"/>
      <c r="GY23" s="1136"/>
      <c r="GZ23" s="1136"/>
      <c r="HA23" s="1136"/>
      <c r="HB23" s="1136"/>
      <c r="HC23" s="1136"/>
      <c r="HD23" s="1136"/>
      <c r="HE23" s="1136"/>
      <c r="HF23" s="1136"/>
      <c r="HG23" s="1136"/>
      <c r="HH23" s="1136"/>
      <c r="HI23" s="1136"/>
      <c r="HJ23" s="1136"/>
      <c r="HK23" s="1136"/>
      <c r="HL23" s="1136"/>
      <c r="HM23" s="1136"/>
      <c r="HN23" s="1136"/>
      <c r="HO23" s="1136"/>
      <c r="HP23" s="1136"/>
      <c r="HQ23" s="1136"/>
      <c r="HR23" s="1136"/>
      <c r="HS23" s="1136"/>
      <c r="HT23" s="1136"/>
      <c r="HU23" s="1136"/>
      <c r="HV23" s="1136"/>
      <c r="HW23" s="1136"/>
      <c r="HX23" s="1136"/>
      <c r="HY23" s="1136"/>
      <c r="HZ23" s="1136"/>
      <c r="IA23" s="1136"/>
      <c r="IB23" s="1136"/>
      <c r="IC23" s="1136"/>
      <c r="ID23" s="1136"/>
      <c r="IE23" s="1136"/>
      <c r="IF23" s="1136"/>
      <c r="IG23" s="1136"/>
      <c r="IH23" s="1136"/>
      <c r="II23" s="1136"/>
      <c r="IJ23" s="1136"/>
      <c r="IK23" s="1136"/>
      <c r="IL23" s="1136"/>
      <c r="IM23" s="1136"/>
      <c r="IN23" s="1136"/>
      <c r="IO23" s="1136"/>
      <c r="IP23" s="1136"/>
      <c r="IQ23" s="1136"/>
      <c r="IR23" s="1136"/>
      <c r="IS23" s="1136"/>
      <c r="IT23" s="1136"/>
      <c r="IU23" s="1136"/>
      <c r="IV23" s="1136"/>
    </row>
    <row r="24" spans="1:256">
      <c r="A24" s="1140">
        <f t="shared" si="2"/>
        <v>11</v>
      </c>
      <c r="B24" s="1137" t="s">
        <v>48</v>
      </c>
      <c r="C24" s="1149">
        <f t="shared" si="3"/>
        <v>0</v>
      </c>
      <c r="D24" s="1149">
        <f t="shared" si="5"/>
        <v>0</v>
      </c>
      <c r="E24" s="1137">
        <v>30</v>
      </c>
      <c r="F24" s="964">
        <v>185</v>
      </c>
      <c r="G24" s="1150">
        <f t="shared" si="0"/>
        <v>0.50684931506849318</v>
      </c>
      <c r="H24" s="1149">
        <f t="shared" si="1"/>
        <v>0</v>
      </c>
      <c r="I24" s="1149">
        <f>I23+H24</f>
        <v>0</v>
      </c>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1136"/>
      <c r="BA24" s="1136"/>
      <c r="BB24" s="1136"/>
      <c r="BC24" s="1136"/>
      <c r="BD24" s="1136"/>
      <c r="BE24" s="1136"/>
      <c r="BF24" s="1136"/>
      <c r="BG24" s="1136"/>
      <c r="BH24" s="1136"/>
      <c r="BI24" s="1136"/>
      <c r="BJ24" s="1136"/>
      <c r="BK24" s="1136"/>
      <c r="BL24" s="1136"/>
      <c r="BM24" s="1136"/>
      <c r="BN24" s="1136"/>
      <c r="BO24" s="1136"/>
      <c r="BP24" s="1136"/>
      <c r="BQ24" s="1136"/>
      <c r="BR24" s="1136"/>
      <c r="BS24" s="1136"/>
      <c r="BT24" s="1136"/>
      <c r="BU24" s="1136"/>
      <c r="BV24" s="1136"/>
      <c r="BW24" s="1136"/>
      <c r="BX24" s="1136"/>
      <c r="BY24" s="1136"/>
      <c r="BZ24" s="1136"/>
      <c r="CA24" s="1136"/>
      <c r="CB24" s="1136"/>
      <c r="CC24" s="1136"/>
      <c r="CD24" s="1136"/>
      <c r="CE24" s="1136"/>
      <c r="CF24" s="1136"/>
      <c r="CG24" s="1136"/>
      <c r="CH24" s="1136"/>
      <c r="CI24" s="1136"/>
      <c r="CJ24" s="1136"/>
      <c r="CK24" s="1136"/>
      <c r="CL24" s="1136"/>
      <c r="CM24" s="1136"/>
      <c r="CN24" s="1136"/>
      <c r="CO24" s="1136"/>
      <c r="CP24" s="1136"/>
      <c r="CQ24" s="1136"/>
      <c r="CR24" s="1136"/>
      <c r="CS24" s="1136"/>
      <c r="CT24" s="1136"/>
      <c r="CU24" s="1136"/>
      <c r="CV24" s="1136"/>
      <c r="CW24" s="1136"/>
      <c r="CX24" s="1136"/>
      <c r="CY24" s="1136"/>
      <c r="CZ24" s="1136"/>
      <c r="DA24" s="1136"/>
      <c r="DB24" s="1136"/>
      <c r="DC24" s="1136"/>
      <c r="DD24" s="1136"/>
      <c r="DE24" s="1136"/>
      <c r="DF24" s="1136"/>
      <c r="DG24" s="1136"/>
      <c r="DH24" s="1136"/>
      <c r="DI24" s="1136"/>
      <c r="DJ24" s="1136"/>
      <c r="DK24" s="1136"/>
      <c r="DL24" s="1136"/>
      <c r="DM24" s="1136"/>
      <c r="DN24" s="1136"/>
      <c r="DO24" s="1136"/>
      <c r="DP24" s="1136"/>
      <c r="DQ24" s="1136"/>
      <c r="DR24" s="1136"/>
      <c r="DS24" s="1136"/>
      <c r="DT24" s="1136"/>
      <c r="DU24" s="1136"/>
      <c r="DV24" s="1136"/>
      <c r="DW24" s="1136"/>
      <c r="DX24" s="1136"/>
      <c r="DY24" s="1136"/>
      <c r="DZ24" s="1136"/>
      <c r="EA24" s="1136"/>
      <c r="EB24" s="1136"/>
      <c r="EC24" s="1136"/>
      <c r="ED24" s="1136"/>
      <c r="EE24" s="1136"/>
      <c r="EF24" s="1136"/>
      <c r="EG24" s="1136"/>
      <c r="EH24" s="1136"/>
      <c r="EI24" s="1136"/>
      <c r="EJ24" s="1136"/>
      <c r="EK24" s="1136"/>
      <c r="EL24" s="1136"/>
      <c r="EM24" s="1136"/>
      <c r="EN24" s="1136"/>
      <c r="EO24" s="1136"/>
      <c r="EP24" s="1136"/>
      <c r="EQ24" s="1136"/>
      <c r="ER24" s="1136"/>
      <c r="ES24" s="1136"/>
      <c r="ET24" s="1136"/>
      <c r="EU24" s="1136"/>
      <c r="EV24" s="1136"/>
      <c r="EW24" s="1136"/>
      <c r="EX24" s="1136"/>
      <c r="EY24" s="1136"/>
      <c r="EZ24" s="1136"/>
      <c r="FA24" s="1136"/>
      <c r="FB24" s="1136"/>
      <c r="FC24" s="1136"/>
      <c r="FD24" s="1136"/>
      <c r="FE24" s="1136"/>
      <c r="FF24" s="1136"/>
      <c r="FG24" s="1136"/>
      <c r="FH24" s="1136"/>
      <c r="FI24" s="1136"/>
      <c r="FJ24" s="1136"/>
      <c r="FK24" s="1136"/>
      <c r="FL24" s="1136"/>
      <c r="FM24" s="1136"/>
      <c r="FN24" s="1136"/>
      <c r="FO24" s="1136"/>
      <c r="FP24" s="1136"/>
      <c r="FQ24" s="1136"/>
      <c r="FR24" s="1136"/>
      <c r="FS24" s="1136"/>
      <c r="FT24" s="1136"/>
      <c r="FU24" s="1136"/>
      <c r="FV24" s="1136"/>
      <c r="FW24" s="1136"/>
      <c r="FX24" s="1136"/>
      <c r="FY24" s="1136"/>
      <c r="FZ24" s="1136"/>
      <c r="GA24" s="1136"/>
      <c r="GB24" s="1136"/>
      <c r="GC24" s="1136"/>
      <c r="GD24" s="1136"/>
      <c r="GE24" s="1136"/>
      <c r="GF24" s="1136"/>
      <c r="GG24" s="1136"/>
      <c r="GH24" s="1136"/>
      <c r="GI24" s="1136"/>
      <c r="GJ24" s="1136"/>
      <c r="GK24" s="1136"/>
      <c r="GL24" s="1136"/>
      <c r="GM24" s="1136"/>
      <c r="GN24" s="1136"/>
      <c r="GO24" s="1136"/>
      <c r="GP24" s="1136"/>
      <c r="GQ24" s="1136"/>
      <c r="GR24" s="1136"/>
      <c r="GS24" s="1136"/>
      <c r="GT24" s="1136"/>
      <c r="GU24" s="1136"/>
      <c r="GV24" s="1136"/>
      <c r="GW24" s="1136"/>
      <c r="GX24" s="1136"/>
      <c r="GY24" s="1136"/>
      <c r="GZ24" s="1136"/>
      <c r="HA24" s="1136"/>
      <c r="HB24" s="1136"/>
      <c r="HC24" s="1136"/>
      <c r="HD24" s="1136"/>
      <c r="HE24" s="1136"/>
      <c r="HF24" s="1136"/>
      <c r="HG24" s="1136"/>
      <c r="HH24" s="1136"/>
      <c r="HI24" s="1136"/>
      <c r="HJ24" s="1136"/>
      <c r="HK24" s="1136"/>
      <c r="HL24" s="1136"/>
      <c r="HM24" s="1136"/>
      <c r="HN24" s="1136"/>
      <c r="HO24" s="1136"/>
      <c r="HP24" s="1136"/>
      <c r="HQ24" s="1136"/>
      <c r="HR24" s="1136"/>
      <c r="HS24" s="1136"/>
      <c r="HT24" s="1136"/>
      <c r="HU24" s="1136"/>
      <c r="HV24" s="1136"/>
      <c r="HW24" s="1136"/>
      <c r="HX24" s="1136"/>
      <c r="HY24" s="1136"/>
      <c r="HZ24" s="1136"/>
      <c r="IA24" s="1136"/>
      <c r="IB24" s="1136"/>
      <c r="IC24" s="1136"/>
      <c r="ID24" s="1136"/>
      <c r="IE24" s="1136"/>
      <c r="IF24" s="1136"/>
      <c r="IG24" s="1136"/>
      <c r="IH24" s="1136"/>
      <c r="II24" s="1136"/>
      <c r="IJ24" s="1136"/>
      <c r="IK24" s="1136"/>
      <c r="IL24" s="1136"/>
      <c r="IM24" s="1136"/>
      <c r="IN24" s="1136"/>
      <c r="IO24" s="1136"/>
      <c r="IP24" s="1136"/>
      <c r="IQ24" s="1136"/>
      <c r="IR24" s="1136"/>
      <c r="IS24" s="1136"/>
      <c r="IT24" s="1136"/>
      <c r="IU24" s="1136"/>
      <c r="IV24" s="1136"/>
    </row>
    <row r="25" spans="1:256">
      <c r="A25" s="1140">
        <f t="shared" si="2"/>
        <v>12</v>
      </c>
      <c r="B25" s="1137" t="s">
        <v>328</v>
      </c>
      <c r="C25" s="1149">
        <f t="shared" si="3"/>
        <v>0</v>
      </c>
      <c r="D25" s="1149">
        <f t="shared" si="5"/>
        <v>0</v>
      </c>
      <c r="E25" s="1137">
        <v>31</v>
      </c>
      <c r="F25" s="964">
        <v>154</v>
      </c>
      <c r="G25" s="1150">
        <f t="shared" si="0"/>
        <v>0.42191780821917807</v>
      </c>
      <c r="H25" s="1149">
        <f t="shared" si="1"/>
        <v>0</v>
      </c>
      <c r="I25" s="1149">
        <f t="shared" si="4"/>
        <v>0</v>
      </c>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T25" s="1136"/>
      <c r="AU25" s="1136"/>
      <c r="AV25" s="1136"/>
      <c r="AW25" s="1136"/>
      <c r="AX25" s="1136"/>
      <c r="AY25" s="1136"/>
      <c r="AZ25" s="1136"/>
      <c r="BA25" s="1136"/>
      <c r="BB25" s="1136"/>
      <c r="BC25" s="1136"/>
      <c r="BD25" s="1136"/>
      <c r="BE25" s="1136"/>
      <c r="BF25" s="1136"/>
      <c r="BG25" s="1136"/>
      <c r="BH25" s="1136"/>
      <c r="BI25" s="1136"/>
      <c r="BJ25" s="1136"/>
      <c r="BK25" s="1136"/>
      <c r="BL25" s="1136"/>
      <c r="BM25" s="1136"/>
      <c r="BN25" s="1136"/>
      <c r="BO25" s="1136"/>
      <c r="BP25" s="1136"/>
      <c r="BQ25" s="1136"/>
      <c r="BR25" s="1136"/>
      <c r="BS25" s="1136"/>
      <c r="BT25" s="1136"/>
      <c r="BU25" s="1136"/>
      <c r="BV25" s="1136"/>
      <c r="BW25" s="1136"/>
      <c r="BX25" s="1136"/>
      <c r="BY25" s="1136"/>
      <c r="BZ25" s="1136"/>
      <c r="CA25" s="1136"/>
      <c r="CB25" s="1136"/>
      <c r="CC25" s="1136"/>
      <c r="CD25" s="1136"/>
      <c r="CE25" s="1136"/>
      <c r="CF25" s="1136"/>
      <c r="CG25" s="1136"/>
      <c r="CH25" s="1136"/>
      <c r="CI25" s="1136"/>
      <c r="CJ25" s="1136"/>
      <c r="CK25" s="1136"/>
      <c r="CL25" s="1136"/>
      <c r="CM25" s="1136"/>
      <c r="CN25" s="1136"/>
      <c r="CO25" s="1136"/>
      <c r="CP25" s="1136"/>
      <c r="CQ25" s="1136"/>
      <c r="CR25" s="1136"/>
      <c r="CS25" s="1136"/>
      <c r="CT25" s="1136"/>
      <c r="CU25" s="1136"/>
      <c r="CV25" s="1136"/>
      <c r="CW25" s="1136"/>
      <c r="CX25" s="1136"/>
      <c r="CY25" s="1136"/>
      <c r="CZ25" s="1136"/>
      <c r="DA25" s="1136"/>
      <c r="DB25" s="1136"/>
      <c r="DC25" s="1136"/>
      <c r="DD25" s="1136"/>
      <c r="DE25" s="1136"/>
      <c r="DF25" s="1136"/>
      <c r="DG25" s="1136"/>
      <c r="DH25" s="1136"/>
      <c r="DI25" s="1136"/>
      <c r="DJ25" s="1136"/>
      <c r="DK25" s="1136"/>
      <c r="DL25" s="1136"/>
      <c r="DM25" s="1136"/>
      <c r="DN25" s="1136"/>
      <c r="DO25" s="1136"/>
      <c r="DP25" s="1136"/>
      <c r="DQ25" s="1136"/>
      <c r="DR25" s="1136"/>
      <c r="DS25" s="1136"/>
      <c r="DT25" s="1136"/>
      <c r="DU25" s="1136"/>
      <c r="DV25" s="1136"/>
      <c r="DW25" s="1136"/>
      <c r="DX25" s="1136"/>
      <c r="DY25" s="1136"/>
      <c r="DZ25" s="1136"/>
      <c r="EA25" s="1136"/>
      <c r="EB25" s="1136"/>
      <c r="EC25" s="1136"/>
      <c r="ED25" s="1136"/>
      <c r="EE25" s="1136"/>
      <c r="EF25" s="1136"/>
      <c r="EG25" s="1136"/>
      <c r="EH25" s="1136"/>
      <c r="EI25" s="1136"/>
      <c r="EJ25" s="1136"/>
      <c r="EK25" s="1136"/>
      <c r="EL25" s="1136"/>
      <c r="EM25" s="1136"/>
      <c r="EN25" s="1136"/>
      <c r="EO25" s="1136"/>
      <c r="EP25" s="1136"/>
      <c r="EQ25" s="1136"/>
      <c r="ER25" s="1136"/>
      <c r="ES25" s="1136"/>
      <c r="ET25" s="1136"/>
      <c r="EU25" s="1136"/>
      <c r="EV25" s="1136"/>
      <c r="EW25" s="1136"/>
      <c r="EX25" s="1136"/>
      <c r="EY25" s="1136"/>
      <c r="EZ25" s="1136"/>
      <c r="FA25" s="1136"/>
      <c r="FB25" s="1136"/>
      <c r="FC25" s="1136"/>
      <c r="FD25" s="1136"/>
      <c r="FE25" s="1136"/>
      <c r="FF25" s="1136"/>
      <c r="FG25" s="1136"/>
      <c r="FH25" s="1136"/>
      <c r="FI25" s="1136"/>
      <c r="FJ25" s="1136"/>
      <c r="FK25" s="1136"/>
      <c r="FL25" s="1136"/>
      <c r="FM25" s="1136"/>
      <c r="FN25" s="1136"/>
      <c r="FO25" s="1136"/>
      <c r="FP25" s="1136"/>
      <c r="FQ25" s="1136"/>
      <c r="FR25" s="1136"/>
      <c r="FS25" s="1136"/>
      <c r="FT25" s="1136"/>
      <c r="FU25" s="1136"/>
      <c r="FV25" s="1136"/>
      <c r="FW25" s="1136"/>
      <c r="FX25" s="1136"/>
      <c r="FY25" s="1136"/>
      <c r="FZ25" s="1136"/>
      <c r="GA25" s="1136"/>
      <c r="GB25" s="1136"/>
      <c r="GC25" s="1136"/>
      <c r="GD25" s="1136"/>
      <c r="GE25" s="1136"/>
      <c r="GF25" s="1136"/>
      <c r="GG25" s="1136"/>
      <c r="GH25" s="1136"/>
      <c r="GI25" s="1136"/>
      <c r="GJ25" s="1136"/>
      <c r="GK25" s="1136"/>
      <c r="GL25" s="1136"/>
      <c r="GM25" s="1136"/>
      <c r="GN25" s="1136"/>
      <c r="GO25" s="1136"/>
      <c r="GP25" s="1136"/>
      <c r="GQ25" s="1136"/>
      <c r="GR25" s="1136"/>
      <c r="GS25" s="1136"/>
      <c r="GT25" s="1136"/>
      <c r="GU25" s="1136"/>
      <c r="GV25" s="1136"/>
      <c r="GW25" s="1136"/>
      <c r="GX25" s="1136"/>
      <c r="GY25" s="1136"/>
      <c r="GZ25" s="1136"/>
      <c r="HA25" s="1136"/>
      <c r="HB25" s="1136"/>
      <c r="HC25" s="1136"/>
      <c r="HD25" s="1136"/>
      <c r="HE25" s="1136"/>
      <c r="HF25" s="1136"/>
      <c r="HG25" s="1136"/>
      <c r="HH25" s="1136"/>
      <c r="HI25" s="1136"/>
      <c r="HJ25" s="1136"/>
      <c r="HK25" s="1136"/>
      <c r="HL25" s="1136"/>
      <c r="HM25" s="1136"/>
      <c r="HN25" s="1136"/>
      <c r="HO25" s="1136"/>
      <c r="HP25" s="1136"/>
      <c r="HQ25" s="1136"/>
      <c r="HR25" s="1136"/>
      <c r="HS25" s="1136"/>
      <c r="HT25" s="1136"/>
      <c r="HU25" s="1136"/>
      <c r="HV25" s="1136"/>
      <c r="HW25" s="1136"/>
      <c r="HX25" s="1136"/>
      <c r="HY25" s="1136"/>
      <c r="HZ25" s="1136"/>
      <c r="IA25" s="1136"/>
      <c r="IB25" s="1136"/>
      <c r="IC25" s="1136"/>
      <c r="ID25" s="1136"/>
      <c r="IE25" s="1136"/>
      <c r="IF25" s="1136"/>
      <c r="IG25" s="1136"/>
      <c r="IH25" s="1136"/>
      <c r="II25" s="1136"/>
      <c r="IJ25" s="1136"/>
      <c r="IK25" s="1136"/>
      <c r="IL25" s="1136"/>
      <c r="IM25" s="1136"/>
      <c r="IN25" s="1136"/>
      <c r="IO25" s="1136"/>
      <c r="IP25" s="1136"/>
      <c r="IQ25" s="1136"/>
      <c r="IR25" s="1136"/>
      <c r="IS25" s="1136"/>
      <c r="IT25" s="1136"/>
      <c r="IU25" s="1136"/>
      <c r="IV25" s="1136"/>
    </row>
    <row r="26" spans="1:256">
      <c r="A26" s="1140">
        <f t="shared" si="2"/>
        <v>13</v>
      </c>
      <c r="B26" s="1137" t="s">
        <v>329</v>
      </c>
      <c r="C26" s="1149">
        <f t="shared" si="3"/>
        <v>0</v>
      </c>
      <c r="D26" s="1149">
        <f t="shared" si="5"/>
        <v>0</v>
      </c>
      <c r="E26" s="1137">
        <v>31</v>
      </c>
      <c r="F26" s="964">
        <v>123</v>
      </c>
      <c r="G26" s="1150">
        <f t="shared" si="0"/>
        <v>0.33698630136986302</v>
      </c>
      <c r="H26" s="1149">
        <f t="shared" si="1"/>
        <v>0</v>
      </c>
      <c r="I26" s="1149">
        <f t="shared" si="4"/>
        <v>0</v>
      </c>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1136"/>
      <c r="AU26" s="1136"/>
      <c r="AV26" s="1136"/>
      <c r="AW26" s="1136"/>
      <c r="AX26" s="1136"/>
      <c r="AY26" s="1136"/>
      <c r="AZ26" s="1136"/>
      <c r="BA26" s="1136"/>
      <c r="BB26" s="1136"/>
      <c r="BC26" s="1136"/>
      <c r="BD26" s="1136"/>
      <c r="BE26" s="1136"/>
      <c r="BF26" s="1136"/>
      <c r="BG26" s="1136"/>
      <c r="BH26" s="1136"/>
      <c r="BI26" s="1136"/>
      <c r="BJ26" s="1136"/>
      <c r="BK26" s="1136"/>
      <c r="BL26" s="1136"/>
      <c r="BM26" s="1136"/>
      <c r="BN26" s="1136"/>
      <c r="BO26" s="1136"/>
      <c r="BP26" s="1136"/>
      <c r="BQ26" s="1136"/>
      <c r="BR26" s="1136"/>
      <c r="BS26" s="1136"/>
      <c r="BT26" s="1136"/>
      <c r="BU26" s="1136"/>
      <c r="BV26" s="1136"/>
      <c r="BW26" s="1136"/>
      <c r="BX26" s="1136"/>
      <c r="BY26" s="1136"/>
      <c r="BZ26" s="1136"/>
      <c r="CA26" s="1136"/>
      <c r="CB26" s="1136"/>
      <c r="CC26" s="1136"/>
      <c r="CD26" s="1136"/>
      <c r="CE26" s="1136"/>
      <c r="CF26" s="1136"/>
      <c r="CG26" s="1136"/>
      <c r="CH26" s="1136"/>
      <c r="CI26" s="1136"/>
      <c r="CJ26" s="1136"/>
      <c r="CK26" s="1136"/>
      <c r="CL26" s="1136"/>
      <c r="CM26" s="1136"/>
      <c r="CN26" s="1136"/>
      <c r="CO26" s="1136"/>
      <c r="CP26" s="1136"/>
      <c r="CQ26" s="1136"/>
      <c r="CR26" s="1136"/>
      <c r="CS26" s="1136"/>
      <c r="CT26" s="1136"/>
      <c r="CU26" s="1136"/>
      <c r="CV26" s="1136"/>
      <c r="CW26" s="1136"/>
      <c r="CX26" s="1136"/>
      <c r="CY26" s="1136"/>
      <c r="CZ26" s="1136"/>
      <c r="DA26" s="1136"/>
      <c r="DB26" s="1136"/>
      <c r="DC26" s="1136"/>
      <c r="DD26" s="1136"/>
      <c r="DE26" s="1136"/>
      <c r="DF26" s="1136"/>
      <c r="DG26" s="1136"/>
      <c r="DH26" s="1136"/>
      <c r="DI26" s="1136"/>
      <c r="DJ26" s="1136"/>
      <c r="DK26" s="1136"/>
      <c r="DL26" s="1136"/>
      <c r="DM26" s="1136"/>
      <c r="DN26" s="1136"/>
      <c r="DO26" s="1136"/>
      <c r="DP26" s="1136"/>
      <c r="DQ26" s="1136"/>
      <c r="DR26" s="1136"/>
      <c r="DS26" s="1136"/>
      <c r="DT26" s="1136"/>
      <c r="DU26" s="1136"/>
      <c r="DV26" s="1136"/>
      <c r="DW26" s="1136"/>
      <c r="DX26" s="1136"/>
      <c r="DY26" s="1136"/>
      <c r="DZ26" s="1136"/>
      <c r="EA26" s="1136"/>
      <c r="EB26" s="1136"/>
      <c r="EC26" s="1136"/>
      <c r="ED26" s="1136"/>
      <c r="EE26" s="1136"/>
      <c r="EF26" s="1136"/>
      <c r="EG26" s="1136"/>
      <c r="EH26" s="1136"/>
      <c r="EI26" s="1136"/>
      <c r="EJ26" s="1136"/>
      <c r="EK26" s="1136"/>
      <c r="EL26" s="1136"/>
      <c r="EM26" s="1136"/>
      <c r="EN26" s="1136"/>
      <c r="EO26" s="1136"/>
      <c r="EP26" s="1136"/>
      <c r="EQ26" s="1136"/>
      <c r="ER26" s="1136"/>
      <c r="ES26" s="1136"/>
      <c r="ET26" s="1136"/>
      <c r="EU26" s="1136"/>
      <c r="EV26" s="1136"/>
      <c r="EW26" s="1136"/>
      <c r="EX26" s="1136"/>
      <c r="EY26" s="1136"/>
      <c r="EZ26" s="1136"/>
      <c r="FA26" s="1136"/>
      <c r="FB26" s="1136"/>
      <c r="FC26" s="1136"/>
      <c r="FD26" s="1136"/>
      <c r="FE26" s="1136"/>
      <c r="FF26" s="1136"/>
      <c r="FG26" s="1136"/>
      <c r="FH26" s="1136"/>
      <c r="FI26" s="1136"/>
      <c r="FJ26" s="1136"/>
      <c r="FK26" s="1136"/>
      <c r="FL26" s="1136"/>
      <c r="FM26" s="1136"/>
      <c r="FN26" s="1136"/>
      <c r="FO26" s="1136"/>
      <c r="FP26" s="1136"/>
      <c r="FQ26" s="1136"/>
      <c r="FR26" s="1136"/>
      <c r="FS26" s="1136"/>
      <c r="FT26" s="1136"/>
      <c r="FU26" s="1136"/>
      <c r="FV26" s="1136"/>
      <c r="FW26" s="1136"/>
      <c r="FX26" s="1136"/>
      <c r="FY26" s="1136"/>
      <c r="FZ26" s="1136"/>
      <c r="GA26" s="1136"/>
      <c r="GB26" s="1136"/>
      <c r="GC26" s="1136"/>
      <c r="GD26" s="1136"/>
      <c r="GE26" s="1136"/>
      <c r="GF26" s="1136"/>
      <c r="GG26" s="1136"/>
      <c r="GH26" s="1136"/>
      <c r="GI26" s="1136"/>
      <c r="GJ26" s="1136"/>
      <c r="GK26" s="1136"/>
      <c r="GL26" s="1136"/>
      <c r="GM26" s="1136"/>
      <c r="GN26" s="1136"/>
      <c r="GO26" s="1136"/>
      <c r="GP26" s="1136"/>
      <c r="GQ26" s="1136"/>
      <c r="GR26" s="1136"/>
      <c r="GS26" s="1136"/>
      <c r="GT26" s="1136"/>
      <c r="GU26" s="1136"/>
      <c r="GV26" s="1136"/>
      <c r="GW26" s="1136"/>
      <c r="GX26" s="1136"/>
      <c r="GY26" s="1136"/>
      <c r="GZ26" s="1136"/>
      <c r="HA26" s="1136"/>
      <c r="HB26" s="1136"/>
      <c r="HC26" s="1136"/>
      <c r="HD26" s="1136"/>
      <c r="HE26" s="1136"/>
      <c r="HF26" s="1136"/>
      <c r="HG26" s="1136"/>
      <c r="HH26" s="1136"/>
      <c r="HI26" s="1136"/>
      <c r="HJ26" s="1136"/>
      <c r="HK26" s="1136"/>
      <c r="HL26" s="1136"/>
      <c r="HM26" s="1136"/>
      <c r="HN26" s="1136"/>
      <c r="HO26" s="1136"/>
      <c r="HP26" s="1136"/>
      <c r="HQ26" s="1136"/>
      <c r="HR26" s="1136"/>
      <c r="HS26" s="1136"/>
      <c r="HT26" s="1136"/>
      <c r="HU26" s="1136"/>
      <c r="HV26" s="1136"/>
      <c r="HW26" s="1136"/>
      <c r="HX26" s="1136"/>
      <c r="HY26" s="1136"/>
      <c r="HZ26" s="1136"/>
      <c r="IA26" s="1136"/>
      <c r="IB26" s="1136"/>
      <c r="IC26" s="1136"/>
      <c r="ID26" s="1136"/>
      <c r="IE26" s="1136"/>
      <c r="IF26" s="1136"/>
      <c r="IG26" s="1136"/>
      <c r="IH26" s="1136"/>
      <c r="II26" s="1136"/>
      <c r="IJ26" s="1136"/>
      <c r="IK26" s="1136"/>
      <c r="IL26" s="1136"/>
      <c r="IM26" s="1136"/>
      <c r="IN26" s="1136"/>
      <c r="IO26" s="1136"/>
      <c r="IP26" s="1136"/>
      <c r="IQ26" s="1136"/>
      <c r="IR26" s="1136"/>
      <c r="IS26" s="1136"/>
      <c r="IT26" s="1136"/>
      <c r="IU26" s="1136"/>
      <c r="IV26" s="1136"/>
    </row>
    <row r="27" spans="1:256">
      <c r="A27" s="1140">
        <f t="shared" si="2"/>
        <v>14</v>
      </c>
      <c r="B27" s="1137" t="s">
        <v>331</v>
      </c>
      <c r="C27" s="1149">
        <f t="shared" si="3"/>
        <v>0</v>
      </c>
      <c r="D27" s="1149">
        <f t="shared" si="5"/>
        <v>0</v>
      </c>
      <c r="E27" s="1137">
        <v>30</v>
      </c>
      <c r="F27" s="964">
        <v>93</v>
      </c>
      <c r="G27" s="1150">
        <f t="shared" si="0"/>
        <v>0.25479452054794521</v>
      </c>
      <c r="H27" s="1149">
        <f t="shared" si="1"/>
        <v>0</v>
      </c>
      <c r="I27" s="1149">
        <f t="shared" si="4"/>
        <v>0</v>
      </c>
      <c r="J27" s="1136"/>
      <c r="K27" s="1136"/>
      <c r="L27" s="1136"/>
      <c r="M27" s="1136"/>
      <c r="N27" s="1136"/>
      <c r="O27" s="1136"/>
      <c r="P27" s="1136"/>
      <c r="Q27" s="1136"/>
      <c r="R27" s="1136"/>
      <c r="S27" s="1136"/>
      <c r="T27" s="1136"/>
      <c r="U27" s="1136"/>
      <c r="V27" s="1136"/>
      <c r="W27" s="1136"/>
      <c r="X27" s="1136"/>
      <c r="Y27" s="1136"/>
      <c r="Z27" s="1136"/>
      <c r="AA27" s="1136"/>
      <c r="AB27" s="1136"/>
      <c r="AC27" s="1136"/>
      <c r="AD27" s="1136"/>
      <c r="AE27" s="1136"/>
      <c r="AF27" s="1136"/>
      <c r="AG27" s="1136"/>
      <c r="AH27" s="1136"/>
      <c r="AI27" s="1136"/>
      <c r="AJ27" s="1136"/>
      <c r="AK27" s="1136"/>
      <c r="AL27" s="1136"/>
      <c r="AM27" s="1136"/>
      <c r="AN27" s="1136"/>
      <c r="AO27" s="1136"/>
      <c r="AP27" s="1136"/>
      <c r="AQ27" s="1136"/>
      <c r="AR27" s="1136"/>
      <c r="AS27" s="1136"/>
      <c r="AT27" s="1136"/>
      <c r="AU27" s="1136"/>
      <c r="AV27" s="1136"/>
      <c r="AW27" s="1136"/>
      <c r="AX27" s="1136"/>
      <c r="AY27" s="1136"/>
      <c r="AZ27" s="1136"/>
      <c r="BA27" s="1136"/>
      <c r="BB27" s="1136"/>
      <c r="BC27" s="1136"/>
      <c r="BD27" s="1136"/>
      <c r="BE27" s="1136"/>
      <c r="BF27" s="1136"/>
      <c r="BG27" s="1136"/>
      <c r="BH27" s="1136"/>
      <c r="BI27" s="1136"/>
      <c r="BJ27" s="1136"/>
      <c r="BK27" s="1136"/>
      <c r="BL27" s="1136"/>
      <c r="BM27" s="1136"/>
      <c r="BN27" s="1136"/>
      <c r="BO27" s="1136"/>
      <c r="BP27" s="1136"/>
      <c r="BQ27" s="1136"/>
      <c r="BR27" s="1136"/>
      <c r="BS27" s="1136"/>
      <c r="BT27" s="1136"/>
      <c r="BU27" s="1136"/>
      <c r="BV27" s="1136"/>
      <c r="BW27" s="1136"/>
      <c r="BX27" s="1136"/>
      <c r="BY27" s="1136"/>
      <c r="BZ27" s="1136"/>
      <c r="CA27" s="1136"/>
      <c r="CB27" s="1136"/>
      <c r="CC27" s="1136"/>
      <c r="CD27" s="1136"/>
      <c r="CE27" s="1136"/>
      <c r="CF27" s="1136"/>
      <c r="CG27" s="1136"/>
      <c r="CH27" s="1136"/>
      <c r="CI27" s="1136"/>
      <c r="CJ27" s="1136"/>
      <c r="CK27" s="1136"/>
      <c r="CL27" s="1136"/>
      <c r="CM27" s="1136"/>
      <c r="CN27" s="1136"/>
      <c r="CO27" s="1136"/>
      <c r="CP27" s="1136"/>
      <c r="CQ27" s="1136"/>
      <c r="CR27" s="1136"/>
      <c r="CS27" s="1136"/>
      <c r="CT27" s="1136"/>
      <c r="CU27" s="1136"/>
      <c r="CV27" s="1136"/>
      <c r="CW27" s="1136"/>
      <c r="CX27" s="1136"/>
      <c r="CY27" s="1136"/>
      <c r="CZ27" s="1136"/>
      <c r="DA27" s="1136"/>
      <c r="DB27" s="1136"/>
      <c r="DC27" s="1136"/>
      <c r="DD27" s="1136"/>
      <c r="DE27" s="1136"/>
      <c r="DF27" s="1136"/>
      <c r="DG27" s="1136"/>
      <c r="DH27" s="1136"/>
      <c r="DI27" s="1136"/>
      <c r="DJ27" s="1136"/>
      <c r="DK27" s="1136"/>
      <c r="DL27" s="1136"/>
      <c r="DM27" s="1136"/>
      <c r="DN27" s="1136"/>
      <c r="DO27" s="1136"/>
      <c r="DP27" s="1136"/>
      <c r="DQ27" s="1136"/>
      <c r="DR27" s="1136"/>
      <c r="DS27" s="1136"/>
      <c r="DT27" s="1136"/>
      <c r="DU27" s="1136"/>
      <c r="DV27" s="1136"/>
      <c r="DW27" s="1136"/>
      <c r="DX27" s="1136"/>
      <c r="DY27" s="1136"/>
      <c r="DZ27" s="1136"/>
      <c r="EA27" s="1136"/>
      <c r="EB27" s="1136"/>
      <c r="EC27" s="1136"/>
      <c r="ED27" s="1136"/>
      <c r="EE27" s="1136"/>
      <c r="EF27" s="1136"/>
      <c r="EG27" s="1136"/>
      <c r="EH27" s="1136"/>
      <c r="EI27" s="1136"/>
      <c r="EJ27" s="1136"/>
      <c r="EK27" s="1136"/>
      <c r="EL27" s="1136"/>
      <c r="EM27" s="1136"/>
      <c r="EN27" s="1136"/>
      <c r="EO27" s="1136"/>
      <c r="EP27" s="1136"/>
      <c r="EQ27" s="1136"/>
      <c r="ER27" s="1136"/>
      <c r="ES27" s="1136"/>
      <c r="ET27" s="1136"/>
      <c r="EU27" s="1136"/>
      <c r="EV27" s="1136"/>
      <c r="EW27" s="1136"/>
      <c r="EX27" s="1136"/>
      <c r="EY27" s="1136"/>
      <c r="EZ27" s="1136"/>
      <c r="FA27" s="1136"/>
      <c r="FB27" s="1136"/>
      <c r="FC27" s="1136"/>
      <c r="FD27" s="1136"/>
      <c r="FE27" s="1136"/>
      <c r="FF27" s="1136"/>
      <c r="FG27" s="1136"/>
      <c r="FH27" s="1136"/>
      <c r="FI27" s="1136"/>
      <c r="FJ27" s="1136"/>
      <c r="FK27" s="1136"/>
      <c r="FL27" s="1136"/>
      <c r="FM27" s="1136"/>
      <c r="FN27" s="1136"/>
      <c r="FO27" s="1136"/>
      <c r="FP27" s="1136"/>
      <c r="FQ27" s="1136"/>
      <c r="FR27" s="1136"/>
      <c r="FS27" s="1136"/>
      <c r="FT27" s="1136"/>
      <c r="FU27" s="1136"/>
      <c r="FV27" s="1136"/>
      <c r="FW27" s="1136"/>
      <c r="FX27" s="1136"/>
      <c r="FY27" s="1136"/>
      <c r="FZ27" s="1136"/>
      <c r="GA27" s="1136"/>
      <c r="GB27" s="1136"/>
      <c r="GC27" s="1136"/>
      <c r="GD27" s="1136"/>
      <c r="GE27" s="1136"/>
      <c r="GF27" s="1136"/>
      <c r="GG27" s="1136"/>
      <c r="GH27" s="1136"/>
      <c r="GI27" s="1136"/>
      <c r="GJ27" s="1136"/>
      <c r="GK27" s="1136"/>
      <c r="GL27" s="1136"/>
      <c r="GM27" s="1136"/>
      <c r="GN27" s="1136"/>
      <c r="GO27" s="1136"/>
      <c r="GP27" s="1136"/>
      <c r="GQ27" s="1136"/>
      <c r="GR27" s="1136"/>
      <c r="GS27" s="1136"/>
      <c r="GT27" s="1136"/>
      <c r="GU27" s="1136"/>
      <c r="GV27" s="1136"/>
      <c r="GW27" s="1136"/>
      <c r="GX27" s="1136"/>
      <c r="GY27" s="1136"/>
      <c r="GZ27" s="1136"/>
      <c r="HA27" s="1136"/>
      <c r="HB27" s="1136"/>
      <c r="HC27" s="1136"/>
      <c r="HD27" s="1136"/>
      <c r="HE27" s="1136"/>
      <c r="HF27" s="1136"/>
      <c r="HG27" s="1136"/>
      <c r="HH27" s="1136"/>
      <c r="HI27" s="1136"/>
      <c r="HJ27" s="1136"/>
      <c r="HK27" s="1136"/>
      <c r="HL27" s="1136"/>
      <c r="HM27" s="1136"/>
      <c r="HN27" s="1136"/>
      <c r="HO27" s="1136"/>
      <c r="HP27" s="1136"/>
      <c r="HQ27" s="1136"/>
      <c r="HR27" s="1136"/>
      <c r="HS27" s="1136"/>
      <c r="HT27" s="1136"/>
      <c r="HU27" s="1136"/>
      <c r="HV27" s="1136"/>
      <c r="HW27" s="1136"/>
      <c r="HX27" s="1136"/>
      <c r="HY27" s="1136"/>
      <c r="HZ27" s="1136"/>
      <c r="IA27" s="1136"/>
      <c r="IB27" s="1136"/>
      <c r="IC27" s="1136"/>
      <c r="ID27" s="1136"/>
      <c r="IE27" s="1136"/>
      <c r="IF27" s="1136"/>
      <c r="IG27" s="1136"/>
      <c r="IH27" s="1136"/>
      <c r="II27" s="1136"/>
      <c r="IJ27" s="1136"/>
      <c r="IK27" s="1136"/>
      <c r="IL27" s="1136"/>
      <c r="IM27" s="1136"/>
      <c r="IN27" s="1136"/>
      <c r="IO27" s="1136"/>
      <c r="IP27" s="1136"/>
      <c r="IQ27" s="1136"/>
      <c r="IR27" s="1136"/>
      <c r="IS27" s="1136"/>
      <c r="IT27" s="1136"/>
      <c r="IU27" s="1136"/>
      <c r="IV27" s="1136"/>
    </row>
    <row r="28" spans="1:256">
      <c r="A28" s="1140">
        <f t="shared" si="2"/>
        <v>15</v>
      </c>
      <c r="B28" s="1137" t="s">
        <v>518</v>
      </c>
      <c r="C28" s="1149">
        <f t="shared" si="3"/>
        <v>0</v>
      </c>
      <c r="D28" s="1149">
        <f t="shared" si="5"/>
        <v>0</v>
      </c>
      <c r="E28" s="1137">
        <v>31</v>
      </c>
      <c r="F28" s="964">
        <v>62</v>
      </c>
      <c r="G28" s="1150">
        <f t="shared" si="0"/>
        <v>0.16986301369863013</v>
      </c>
      <c r="H28" s="1149">
        <f t="shared" si="1"/>
        <v>0</v>
      </c>
      <c r="I28" s="1149">
        <f t="shared" si="4"/>
        <v>0</v>
      </c>
      <c r="J28" s="1136"/>
      <c r="K28" s="1136"/>
      <c r="L28" s="1136"/>
      <c r="M28" s="1136"/>
      <c r="N28" s="1136"/>
      <c r="O28" s="1136"/>
      <c r="P28" s="1136"/>
      <c r="Q28" s="1136"/>
      <c r="R28" s="1136"/>
      <c r="S28" s="1136"/>
      <c r="T28" s="1136"/>
      <c r="U28" s="1136"/>
      <c r="V28" s="1136"/>
      <c r="W28" s="1136"/>
      <c r="X28" s="1136"/>
      <c r="Y28" s="1136"/>
      <c r="Z28" s="1136"/>
      <c r="AA28" s="1136"/>
      <c r="AB28" s="1136"/>
      <c r="AC28" s="1136"/>
      <c r="AD28" s="1136"/>
      <c r="AE28" s="1136"/>
      <c r="AF28" s="1136"/>
      <c r="AG28" s="1136"/>
      <c r="AH28" s="1136"/>
      <c r="AI28" s="1136"/>
      <c r="AJ28" s="1136"/>
      <c r="AK28" s="1136"/>
      <c r="AL28" s="1136"/>
      <c r="AM28" s="1136"/>
      <c r="AN28" s="1136"/>
      <c r="AO28" s="1136"/>
      <c r="AP28" s="1136"/>
      <c r="AQ28" s="1136"/>
      <c r="AR28" s="1136"/>
      <c r="AS28" s="1136"/>
      <c r="AT28" s="1136"/>
      <c r="AU28" s="1136"/>
      <c r="AV28" s="1136"/>
      <c r="AW28" s="1136"/>
      <c r="AX28" s="1136"/>
      <c r="AY28" s="1136"/>
      <c r="AZ28" s="1136"/>
      <c r="BA28" s="1136"/>
      <c r="BB28" s="1136"/>
      <c r="BC28" s="1136"/>
      <c r="BD28" s="1136"/>
      <c r="BE28" s="1136"/>
      <c r="BF28" s="1136"/>
      <c r="BG28" s="1136"/>
      <c r="BH28" s="1136"/>
      <c r="BI28" s="1136"/>
      <c r="BJ28" s="1136"/>
      <c r="BK28" s="1136"/>
      <c r="BL28" s="1136"/>
      <c r="BM28" s="1136"/>
      <c r="BN28" s="1136"/>
      <c r="BO28" s="1136"/>
      <c r="BP28" s="1136"/>
      <c r="BQ28" s="1136"/>
      <c r="BR28" s="1136"/>
      <c r="BS28" s="1136"/>
      <c r="BT28" s="1136"/>
      <c r="BU28" s="1136"/>
      <c r="BV28" s="1136"/>
      <c r="BW28" s="1136"/>
      <c r="BX28" s="1136"/>
      <c r="BY28" s="1136"/>
      <c r="BZ28" s="1136"/>
      <c r="CA28" s="1136"/>
      <c r="CB28" s="1136"/>
      <c r="CC28" s="1136"/>
      <c r="CD28" s="1136"/>
      <c r="CE28" s="1136"/>
      <c r="CF28" s="1136"/>
      <c r="CG28" s="1136"/>
      <c r="CH28" s="1136"/>
      <c r="CI28" s="1136"/>
      <c r="CJ28" s="1136"/>
      <c r="CK28" s="1136"/>
      <c r="CL28" s="1136"/>
      <c r="CM28" s="1136"/>
      <c r="CN28" s="1136"/>
      <c r="CO28" s="1136"/>
      <c r="CP28" s="1136"/>
      <c r="CQ28" s="1136"/>
      <c r="CR28" s="1136"/>
      <c r="CS28" s="1136"/>
      <c r="CT28" s="1136"/>
      <c r="CU28" s="1136"/>
      <c r="CV28" s="1136"/>
      <c r="CW28" s="1136"/>
      <c r="CX28" s="1136"/>
      <c r="CY28" s="1136"/>
      <c r="CZ28" s="1136"/>
      <c r="DA28" s="1136"/>
      <c r="DB28" s="1136"/>
      <c r="DC28" s="1136"/>
      <c r="DD28" s="1136"/>
      <c r="DE28" s="1136"/>
      <c r="DF28" s="1136"/>
      <c r="DG28" s="1136"/>
      <c r="DH28" s="1136"/>
      <c r="DI28" s="1136"/>
      <c r="DJ28" s="1136"/>
      <c r="DK28" s="1136"/>
      <c r="DL28" s="1136"/>
      <c r="DM28" s="1136"/>
      <c r="DN28" s="1136"/>
      <c r="DO28" s="1136"/>
      <c r="DP28" s="1136"/>
      <c r="DQ28" s="1136"/>
      <c r="DR28" s="1136"/>
      <c r="DS28" s="1136"/>
      <c r="DT28" s="1136"/>
      <c r="DU28" s="1136"/>
      <c r="DV28" s="1136"/>
      <c r="DW28" s="1136"/>
      <c r="DX28" s="1136"/>
      <c r="DY28" s="1136"/>
      <c r="DZ28" s="1136"/>
      <c r="EA28" s="1136"/>
      <c r="EB28" s="1136"/>
      <c r="EC28" s="1136"/>
      <c r="ED28" s="1136"/>
      <c r="EE28" s="1136"/>
      <c r="EF28" s="1136"/>
      <c r="EG28" s="1136"/>
      <c r="EH28" s="1136"/>
      <c r="EI28" s="1136"/>
      <c r="EJ28" s="1136"/>
      <c r="EK28" s="1136"/>
      <c r="EL28" s="1136"/>
      <c r="EM28" s="1136"/>
      <c r="EN28" s="1136"/>
      <c r="EO28" s="1136"/>
      <c r="EP28" s="1136"/>
      <c r="EQ28" s="1136"/>
      <c r="ER28" s="1136"/>
      <c r="ES28" s="1136"/>
      <c r="ET28" s="1136"/>
      <c r="EU28" s="1136"/>
      <c r="EV28" s="1136"/>
      <c r="EW28" s="1136"/>
      <c r="EX28" s="1136"/>
      <c r="EY28" s="1136"/>
      <c r="EZ28" s="1136"/>
      <c r="FA28" s="1136"/>
      <c r="FB28" s="1136"/>
      <c r="FC28" s="1136"/>
      <c r="FD28" s="1136"/>
      <c r="FE28" s="1136"/>
      <c r="FF28" s="1136"/>
      <c r="FG28" s="1136"/>
      <c r="FH28" s="1136"/>
      <c r="FI28" s="1136"/>
      <c r="FJ28" s="1136"/>
      <c r="FK28" s="1136"/>
      <c r="FL28" s="1136"/>
      <c r="FM28" s="1136"/>
      <c r="FN28" s="1136"/>
      <c r="FO28" s="1136"/>
      <c r="FP28" s="1136"/>
      <c r="FQ28" s="1136"/>
      <c r="FR28" s="1136"/>
      <c r="FS28" s="1136"/>
      <c r="FT28" s="1136"/>
      <c r="FU28" s="1136"/>
      <c r="FV28" s="1136"/>
      <c r="FW28" s="1136"/>
      <c r="FX28" s="1136"/>
      <c r="FY28" s="1136"/>
      <c r="FZ28" s="1136"/>
      <c r="GA28" s="1136"/>
      <c r="GB28" s="1136"/>
      <c r="GC28" s="1136"/>
      <c r="GD28" s="1136"/>
      <c r="GE28" s="1136"/>
      <c r="GF28" s="1136"/>
      <c r="GG28" s="1136"/>
      <c r="GH28" s="1136"/>
      <c r="GI28" s="1136"/>
      <c r="GJ28" s="1136"/>
      <c r="GK28" s="1136"/>
      <c r="GL28" s="1136"/>
      <c r="GM28" s="1136"/>
      <c r="GN28" s="1136"/>
      <c r="GO28" s="1136"/>
      <c r="GP28" s="1136"/>
      <c r="GQ28" s="1136"/>
      <c r="GR28" s="1136"/>
      <c r="GS28" s="1136"/>
      <c r="GT28" s="1136"/>
      <c r="GU28" s="1136"/>
      <c r="GV28" s="1136"/>
      <c r="GW28" s="1136"/>
      <c r="GX28" s="1136"/>
      <c r="GY28" s="1136"/>
      <c r="GZ28" s="1136"/>
      <c r="HA28" s="1136"/>
      <c r="HB28" s="1136"/>
      <c r="HC28" s="1136"/>
      <c r="HD28" s="1136"/>
      <c r="HE28" s="1136"/>
      <c r="HF28" s="1136"/>
      <c r="HG28" s="1136"/>
      <c r="HH28" s="1136"/>
      <c r="HI28" s="1136"/>
      <c r="HJ28" s="1136"/>
      <c r="HK28" s="1136"/>
      <c r="HL28" s="1136"/>
      <c r="HM28" s="1136"/>
      <c r="HN28" s="1136"/>
      <c r="HO28" s="1136"/>
      <c r="HP28" s="1136"/>
      <c r="HQ28" s="1136"/>
      <c r="HR28" s="1136"/>
      <c r="HS28" s="1136"/>
      <c r="HT28" s="1136"/>
      <c r="HU28" s="1136"/>
      <c r="HV28" s="1136"/>
      <c r="HW28" s="1136"/>
      <c r="HX28" s="1136"/>
      <c r="HY28" s="1136"/>
      <c r="HZ28" s="1136"/>
      <c r="IA28" s="1136"/>
      <c r="IB28" s="1136"/>
      <c r="IC28" s="1136"/>
      <c r="ID28" s="1136"/>
      <c r="IE28" s="1136"/>
      <c r="IF28" s="1136"/>
      <c r="IG28" s="1136"/>
      <c r="IH28" s="1136"/>
      <c r="II28" s="1136"/>
      <c r="IJ28" s="1136"/>
      <c r="IK28" s="1136"/>
      <c r="IL28" s="1136"/>
      <c r="IM28" s="1136"/>
      <c r="IN28" s="1136"/>
      <c r="IO28" s="1136"/>
      <c r="IP28" s="1136"/>
      <c r="IQ28" s="1136"/>
      <c r="IR28" s="1136"/>
      <c r="IS28" s="1136"/>
      <c r="IT28" s="1136"/>
      <c r="IU28" s="1136"/>
      <c r="IV28" s="1136"/>
    </row>
    <row r="29" spans="1:256">
      <c r="A29" s="1140">
        <f t="shared" si="2"/>
        <v>16</v>
      </c>
      <c r="B29" s="1137" t="s">
        <v>519</v>
      </c>
      <c r="C29" s="1149">
        <f t="shared" si="3"/>
        <v>0</v>
      </c>
      <c r="D29" s="1149">
        <f t="shared" si="5"/>
        <v>0</v>
      </c>
      <c r="E29" s="1137">
        <v>30</v>
      </c>
      <c r="F29" s="964">
        <v>32</v>
      </c>
      <c r="G29" s="1150">
        <f t="shared" si="0"/>
        <v>8.7671232876712329E-2</v>
      </c>
      <c r="H29" s="1149">
        <f t="shared" si="1"/>
        <v>0</v>
      </c>
      <c r="I29" s="1149">
        <f t="shared" si="4"/>
        <v>0</v>
      </c>
      <c r="J29" s="1136"/>
      <c r="K29" s="1136"/>
      <c r="L29" s="1136"/>
      <c r="M29" s="1136"/>
      <c r="N29" s="1136"/>
      <c r="O29" s="1136"/>
      <c r="P29" s="1136"/>
      <c r="Q29" s="1136"/>
      <c r="R29" s="1136"/>
      <c r="S29" s="1136"/>
      <c r="T29" s="1136"/>
      <c r="U29" s="1136"/>
      <c r="V29" s="1136"/>
      <c r="W29" s="1136"/>
      <c r="X29" s="1136"/>
      <c r="Y29" s="1136"/>
      <c r="Z29" s="1136"/>
      <c r="AA29" s="1136"/>
      <c r="AB29" s="1136"/>
      <c r="AC29" s="1136"/>
      <c r="AD29" s="1136"/>
      <c r="AE29" s="1136"/>
      <c r="AF29" s="1136"/>
      <c r="AG29" s="1136"/>
      <c r="AH29" s="1136"/>
      <c r="AI29" s="1136"/>
      <c r="AJ29" s="1136"/>
      <c r="AK29" s="1136"/>
      <c r="AL29" s="1136"/>
      <c r="AM29" s="1136"/>
      <c r="AN29" s="1136"/>
      <c r="AO29" s="1136"/>
      <c r="AP29" s="1136"/>
      <c r="AQ29" s="1136"/>
      <c r="AR29" s="1136"/>
      <c r="AS29" s="1136"/>
      <c r="AT29" s="1136"/>
      <c r="AU29" s="1136"/>
      <c r="AV29" s="1136"/>
      <c r="AW29" s="1136"/>
      <c r="AX29" s="1136"/>
      <c r="AY29" s="1136"/>
      <c r="AZ29" s="1136"/>
      <c r="BA29" s="1136"/>
      <c r="BB29" s="1136"/>
      <c r="BC29" s="1136"/>
      <c r="BD29" s="1136"/>
      <c r="BE29" s="1136"/>
      <c r="BF29" s="1136"/>
      <c r="BG29" s="1136"/>
      <c r="BH29" s="1136"/>
      <c r="BI29" s="1136"/>
      <c r="BJ29" s="1136"/>
      <c r="BK29" s="1136"/>
      <c r="BL29" s="1136"/>
      <c r="BM29" s="1136"/>
      <c r="BN29" s="1136"/>
      <c r="BO29" s="1136"/>
      <c r="BP29" s="1136"/>
      <c r="BQ29" s="1136"/>
      <c r="BR29" s="1136"/>
      <c r="BS29" s="1136"/>
      <c r="BT29" s="1136"/>
      <c r="BU29" s="1136"/>
      <c r="BV29" s="1136"/>
      <c r="BW29" s="1136"/>
      <c r="BX29" s="1136"/>
      <c r="BY29" s="1136"/>
      <c r="BZ29" s="1136"/>
      <c r="CA29" s="1136"/>
      <c r="CB29" s="1136"/>
      <c r="CC29" s="1136"/>
      <c r="CD29" s="1136"/>
      <c r="CE29" s="1136"/>
      <c r="CF29" s="1136"/>
      <c r="CG29" s="1136"/>
      <c r="CH29" s="1136"/>
      <c r="CI29" s="1136"/>
      <c r="CJ29" s="1136"/>
      <c r="CK29" s="1136"/>
      <c r="CL29" s="1136"/>
      <c r="CM29" s="1136"/>
      <c r="CN29" s="1136"/>
      <c r="CO29" s="1136"/>
      <c r="CP29" s="1136"/>
      <c r="CQ29" s="1136"/>
      <c r="CR29" s="1136"/>
      <c r="CS29" s="1136"/>
      <c r="CT29" s="1136"/>
      <c r="CU29" s="1136"/>
      <c r="CV29" s="1136"/>
      <c r="CW29" s="1136"/>
      <c r="CX29" s="1136"/>
      <c r="CY29" s="1136"/>
      <c r="CZ29" s="1136"/>
      <c r="DA29" s="1136"/>
      <c r="DB29" s="1136"/>
      <c r="DC29" s="1136"/>
      <c r="DD29" s="1136"/>
      <c r="DE29" s="1136"/>
      <c r="DF29" s="1136"/>
      <c r="DG29" s="1136"/>
      <c r="DH29" s="1136"/>
      <c r="DI29" s="1136"/>
      <c r="DJ29" s="1136"/>
      <c r="DK29" s="1136"/>
      <c r="DL29" s="1136"/>
      <c r="DM29" s="1136"/>
      <c r="DN29" s="1136"/>
      <c r="DO29" s="1136"/>
      <c r="DP29" s="1136"/>
      <c r="DQ29" s="1136"/>
      <c r="DR29" s="1136"/>
      <c r="DS29" s="1136"/>
      <c r="DT29" s="1136"/>
      <c r="DU29" s="1136"/>
      <c r="DV29" s="1136"/>
      <c r="DW29" s="1136"/>
      <c r="DX29" s="1136"/>
      <c r="DY29" s="1136"/>
      <c r="DZ29" s="1136"/>
      <c r="EA29" s="1136"/>
      <c r="EB29" s="1136"/>
      <c r="EC29" s="1136"/>
      <c r="ED29" s="1136"/>
      <c r="EE29" s="1136"/>
      <c r="EF29" s="1136"/>
      <c r="EG29" s="1136"/>
      <c r="EH29" s="1136"/>
      <c r="EI29" s="1136"/>
      <c r="EJ29" s="1136"/>
      <c r="EK29" s="1136"/>
      <c r="EL29" s="1136"/>
      <c r="EM29" s="1136"/>
      <c r="EN29" s="1136"/>
      <c r="EO29" s="1136"/>
      <c r="EP29" s="1136"/>
      <c r="EQ29" s="1136"/>
      <c r="ER29" s="1136"/>
      <c r="ES29" s="1136"/>
      <c r="ET29" s="1136"/>
      <c r="EU29" s="1136"/>
      <c r="EV29" s="1136"/>
      <c r="EW29" s="1136"/>
      <c r="EX29" s="1136"/>
      <c r="EY29" s="1136"/>
      <c r="EZ29" s="1136"/>
      <c r="FA29" s="1136"/>
      <c r="FB29" s="1136"/>
      <c r="FC29" s="1136"/>
      <c r="FD29" s="1136"/>
      <c r="FE29" s="1136"/>
      <c r="FF29" s="1136"/>
      <c r="FG29" s="1136"/>
      <c r="FH29" s="1136"/>
      <c r="FI29" s="1136"/>
      <c r="FJ29" s="1136"/>
      <c r="FK29" s="1136"/>
      <c r="FL29" s="1136"/>
      <c r="FM29" s="1136"/>
      <c r="FN29" s="1136"/>
      <c r="FO29" s="1136"/>
      <c r="FP29" s="1136"/>
      <c r="FQ29" s="1136"/>
      <c r="FR29" s="1136"/>
      <c r="FS29" s="1136"/>
      <c r="FT29" s="1136"/>
      <c r="FU29" s="1136"/>
      <c r="FV29" s="1136"/>
      <c r="FW29" s="1136"/>
      <c r="FX29" s="1136"/>
      <c r="FY29" s="1136"/>
      <c r="FZ29" s="1136"/>
      <c r="GA29" s="1136"/>
      <c r="GB29" s="1136"/>
      <c r="GC29" s="1136"/>
      <c r="GD29" s="1136"/>
      <c r="GE29" s="1136"/>
      <c r="GF29" s="1136"/>
      <c r="GG29" s="1136"/>
      <c r="GH29" s="1136"/>
      <c r="GI29" s="1136"/>
      <c r="GJ29" s="1136"/>
      <c r="GK29" s="1136"/>
      <c r="GL29" s="1136"/>
      <c r="GM29" s="1136"/>
      <c r="GN29" s="1136"/>
      <c r="GO29" s="1136"/>
      <c r="GP29" s="1136"/>
      <c r="GQ29" s="1136"/>
      <c r="GR29" s="1136"/>
      <c r="GS29" s="1136"/>
      <c r="GT29" s="1136"/>
      <c r="GU29" s="1136"/>
      <c r="GV29" s="1136"/>
      <c r="GW29" s="1136"/>
      <c r="GX29" s="1136"/>
      <c r="GY29" s="1136"/>
      <c r="GZ29" s="1136"/>
      <c r="HA29" s="1136"/>
      <c r="HB29" s="1136"/>
      <c r="HC29" s="1136"/>
      <c r="HD29" s="1136"/>
      <c r="HE29" s="1136"/>
      <c r="HF29" s="1136"/>
      <c r="HG29" s="1136"/>
      <c r="HH29" s="1136"/>
      <c r="HI29" s="1136"/>
      <c r="HJ29" s="1136"/>
      <c r="HK29" s="1136"/>
      <c r="HL29" s="1136"/>
      <c r="HM29" s="1136"/>
      <c r="HN29" s="1136"/>
      <c r="HO29" s="1136"/>
      <c r="HP29" s="1136"/>
      <c r="HQ29" s="1136"/>
      <c r="HR29" s="1136"/>
      <c r="HS29" s="1136"/>
      <c r="HT29" s="1136"/>
      <c r="HU29" s="1136"/>
      <c r="HV29" s="1136"/>
      <c r="HW29" s="1136"/>
      <c r="HX29" s="1136"/>
      <c r="HY29" s="1136"/>
      <c r="HZ29" s="1136"/>
      <c r="IA29" s="1136"/>
      <c r="IB29" s="1136"/>
      <c r="IC29" s="1136"/>
      <c r="ID29" s="1136"/>
      <c r="IE29" s="1136"/>
      <c r="IF29" s="1136"/>
      <c r="IG29" s="1136"/>
      <c r="IH29" s="1136"/>
      <c r="II29" s="1136"/>
      <c r="IJ29" s="1136"/>
      <c r="IK29" s="1136"/>
      <c r="IL29" s="1136"/>
      <c r="IM29" s="1136"/>
      <c r="IN29" s="1136"/>
      <c r="IO29" s="1136"/>
      <c r="IP29" s="1136"/>
      <c r="IQ29" s="1136"/>
      <c r="IR29" s="1136"/>
      <c r="IS29" s="1136"/>
      <c r="IT29" s="1136"/>
      <c r="IU29" s="1136"/>
      <c r="IV29" s="1136"/>
    </row>
    <row r="30" spans="1:256">
      <c r="A30" s="1140">
        <f t="shared" si="2"/>
        <v>17</v>
      </c>
      <c r="B30" s="1137" t="s">
        <v>330</v>
      </c>
      <c r="C30" s="1149">
        <f t="shared" si="3"/>
        <v>0</v>
      </c>
      <c r="D30" s="1149">
        <f t="shared" si="5"/>
        <v>0</v>
      </c>
      <c r="E30" s="1137">
        <v>31</v>
      </c>
      <c r="F30" s="964">
        <f>F29-E30</f>
        <v>1</v>
      </c>
      <c r="G30" s="1150">
        <f t="shared" si="0"/>
        <v>2.7397260273972603E-3</v>
      </c>
      <c r="H30" s="1149">
        <f t="shared" si="1"/>
        <v>0</v>
      </c>
      <c r="I30" s="1149">
        <f t="shared" si="4"/>
        <v>0</v>
      </c>
      <c r="J30" s="1136"/>
      <c r="K30" s="1136"/>
      <c r="L30" s="1136"/>
      <c r="M30" s="1136"/>
      <c r="N30" s="1136"/>
      <c r="O30" s="1136"/>
      <c r="P30" s="1136"/>
      <c r="Q30" s="1136"/>
      <c r="R30" s="1136"/>
      <c r="S30" s="1136"/>
      <c r="T30" s="1136"/>
      <c r="U30" s="1136"/>
      <c r="V30" s="1136"/>
      <c r="W30" s="1136"/>
      <c r="X30" s="1136"/>
      <c r="Y30" s="1136"/>
      <c r="Z30" s="1136"/>
      <c r="AA30" s="1136"/>
      <c r="AB30" s="1136"/>
      <c r="AC30" s="1136"/>
      <c r="AD30" s="1136"/>
      <c r="AE30" s="1136"/>
      <c r="AF30" s="1136"/>
      <c r="AG30" s="1136"/>
      <c r="AH30" s="1136"/>
      <c r="AI30" s="1136"/>
      <c r="AJ30" s="1136"/>
      <c r="AK30" s="1136"/>
      <c r="AL30" s="1136"/>
      <c r="AM30" s="1136"/>
      <c r="AN30" s="1136"/>
      <c r="AO30" s="1136"/>
      <c r="AP30" s="1136"/>
      <c r="AQ30" s="1136"/>
      <c r="AR30" s="1136"/>
      <c r="AS30" s="1136"/>
      <c r="AT30" s="1136"/>
      <c r="AU30" s="1136"/>
      <c r="AV30" s="1136"/>
      <c r="AW30" s="1136"/>
      <c r="AX30" s="1136"/>
      <c r="AY30" s="1136"/>
      <c r="AZ30" s="1136"/>
      <c r="BA30" s="1136"/>
      <c r="BB30" s="1136"/>
      <c r="BC30" s="1136"/>
      <c r="BD30" s="1136"/>
      <c r="BE30" s="1136"/>
      <c r="BF30" s="1136"/>
      <c r="BG30" s="1136"/>
      <c r="BH30" s="1136"/>
      <c r="BI30" s="1136"/>
      <c r="BJ30" s="1136"/>
      <c r="BK30" s="1136"/>
      <c r="BL30" s="1136"/>
      <c r="BM30" s="1136"/>
      <c r="BN30" s="1136"/>
      <c r="BO30" s="1136"/>
      <c r="BP30" s="1136"/>
      <c r="BQ30" s="1136"/>
      <c r="BR30" s="1136"/>
      <c r="BS30" s="1136"/>
      <c r="BT30" s="1136"/>
      <c r="BU30" s="1136"/>
      <c r="BV30" s="1136"/>
      <c r="BW30" s="1136"/>
      <c r="BX30" s="1136"/>
      <c r="BY30" s="1136"/>
      <c r="BZ30" s="1136"/>
      <c r="CA30" s="1136"/>
      <c r="CB30" s="1136"/>
      <c r="CC30" s="1136"/>
      <c r="CD30" s="1136"/>
      <c r="CE30" s="1136"/>
      <c r="CF30" s="1136"/>
      <c r="CG30" s="1136"/>
      <c r="CH30" s="1136"/>
      <c r="CI30" s="1136"/>
      <c r="CJ30" s="1136"/>
      <c r="CK30" s="1136"/>
      <c r="CL30" s="1136"/>
      <c r="CM30" s="1136"/>
      <c r="CN30" s="1136"/>
      <c r="CO30" s="1136"/>
      <c r="CP30" s="1136"/>
      <c r="CQ30" s="1136"/>
      <c r="CR30" s="1136"/>
      <c r="CS30" s="1136"/>
      <c r="CT30" s="1136"/>
      <c r="CU30" s="1136"/>
      <c r="CV30" s="1136"/>
      <c r="CW30" s="1136"/>
      <c r="CX30" s="1136"/>
      <c r="CY30" s="1136"/>
      <c r="CZ30" s="1136"/>
      <c r="DA30" s="1136"/>
      <c r="DB30" s="1136"/>
      <c r="DC30" s="1136"/>
      <c r="DD30" s="1136"/>
      <c r="DE30" s="1136"/>
      <c r="DF30" s="1136"/>
      <c r="DG30" s="1136"/>
      <c r="DH30" s="1136"/>
      <c r="DI30" s="1136"/>
      <c r="DJ30" s="1136"/>
      <c r="DK30" s="1136"/>
      <c r="DL30" s="1136"/>
      <c r="DM30" s="1136"/>
      <c r="DN30" s="1136"/>
      <c r="DO30" s="1136"/>
      <c r="DP30" s="1136"/>
      <c r="DQ30" s="1136"/>
      <c r="DR30" s="1136"/>
      <c r="DS30" s="1136"/>
      <c r="DT30" s="1136"/>
      <c r="DU30" s="1136"/>
      <c r="DV30" s="1136"/>
      <c r="DW30" s="1136"/>
      <c r="DX30" s="1136"/>
      <c r="DY30" s="1136"/>
      <c r="DZ30" s="1136"/>
      <c r="EA30" s="1136"/>
      <c r="EB30" s="1136"/>
      <c r="EC30" s="1136"/>
      <c r="ED30" s="1136"/>
      <c r="EE30" s="1136"/>
      <c r="EF30" s="1136"/>
      <c r="EG30" s="1136"/>
      <c r="EH30" s="1136"/>
      <c r="EI30" s="1136"/>
      <c r="EJ30" s="1136"/>
      <c r="EK30" s="1136"/>
      <c r="EL30" s="1136"/>
      <c r="EM30" s="1136"/>
      <c r="EN30" s="1136"/>
      <c r="EO30" s="1136"/>
      <c r="EP30" s="1136"/>
      <c r="EQ30" s="1136"/>
      <c r="ER30" s="1136"/>
      <c r="ES30" s="1136"/>
      <c r="ET30" s="1136"/>
      <c r="EU30" s="1136"/>
      <c r="EV30" s="1136"/>
      <c r="EW30" s="1136"/>
      <c r="EX30" s="1136"/>
      <c r="EY30" s="1136"/>
      <c r="EZ30" s="1136"/>
      <c r="FA30" s="1136"/>
      <c r="FB30" s="1136"/>
      <c r="FC30" s="1136"/>
      <c r="FD30" s="1136"/>
      <c r="FE30" s="1136"/>
      <c r="FF30" s="1136"/>
      <c r="FG30" s="1136"/>
      <c r="FH30" s="1136"/>
      <c r="FI30" s="1136"/>
      <c r="FJ30" s="1136"/>
      <c r="FK30" s="1136"/>
      <c r="FL30" s="1136"/>
      <c r="FM30" s="1136"/>
      <c r="FN30" s="1136"/>
      <c r="FO30" s="1136"/>
      <c r="FP30" s="1136"/>
      <c r="FQ30" s="1136"/>
      <c r="FR30" s="1136"/>
      <c r="FS30" s="1136"/>
      <c r="FT30" s="1136"/>
      <c r="FU30" s="1136"/>
      <c r="FV30" s="1136"/>
      <c r="FW30" s="1136"/>
      <c r="FX30" s="1136"/>
      <c r="FY30" s="1136"/>
      <c r="FZ30" s="1136"/>
      <c r="GA30" s="1136"/>
      <c r="GB30" s="1136"/>
      <c r="GC30" s="1136"/>
      <c r="GD30" s="1136"/>
      <c r="GE30" s="1136"/>
      <c r="GF30" s="1136"/>
      <c r="GG30" s="1136"/>
      <c r="GH30" s="1136"/>
      <c r="GI30" s="1136"/>
      <c r="GJ30" s="1136"/>
      <c r="GK30" s="1136"/>
      <c r="GL30" s="1136"/>
      <c r="GM30" s="1136"/>
      <c r="GN30" s="1136"/>
      <c r="GO30" s="1136"/>
      <c r="GP30" s="1136"/>
      <c r="GQ30" s="1136"/>
      <c r="GR30" s="1136"/>
      <c r="GS30" s="1136"/>
      <c r="GT30" s="1136"/>
      <c r="GU30" s="1136"/>
      <c r="GV30" s="1136"/>
      <c r="GW30" s="1136"/>
      <c r="GX30" s="1136"/>
      <c r="GY30" s="1136"/>
      <c r="GZ30" s="1136"/>
      <c r="HA30" s="1136"/>
      <c r="HB30" s="1136"/>
      <c r="HC30" s="1136"/>
      <c r="HD30" s="1136"/>
      <c r="HE30" s="1136"/>
      <c r="HF30" s="1136"/>
      <c r="HG30" s="1136"/>
      <c r="HH30" s="1136"/>
      <c r="HI30" s="1136"/>
      <c r="HJ30" s="1136"/>
      <c r="HK30" s="1136"/>
      <c r="HL30" s="1136"/>
      <c r="HM30" s="1136"/>
      <c r="HN30" s="1136"/>
      <c r="HO30" s="1136"/>
      <c r="HP30" s="1136"/>
      <c r="HQ30" s="1136"/>
      <c r="HR30" s="1136"/>
      <c r="HS30" s="1136"/>
      <c r="HT30" s="1136"/>
      <c r="HU30" s="1136"/>
      <c r="HV30" s="1136"/>
      <c r="HW30" s="1136"/>
      <c r="HX30" s="1136"/>
      <c r="HY30" s="1136"/>
      <c r="HZ30" s="1136"/>
      <c r="IA30" s="1136"/>
      <c r="IB30" s="1136"/>
      <c r="IC30" s="1136"/>
      <c r="ID30" s="1136"/>
      <c r="IE30" s="1136"/>
      <c r="IF30" s="1136"/>
      <c r="IG30" s="1136"/>
      <c r="IH30" s="1136"/>
      <c r="II30" s="1136"/>
      <c r="IJ30" s="1136"/>
      <c r="IK30" s="1136"/>
      <c r="IL30" s="1136"/>
      <c r="IM30" s="1136"/>
      <c r="IN30" s="1136"/>
      <c r="IO30" s="1136"/>
      <c r="IP30" s="1136"/>
      <c r="IQ30" s="1136"/>
      <c r="IR30" s="1136"/>
      <c r="IS30" s="1136"/>
      <c r="IT30" s="1136"/>
      <c r="IU30" s="1136"/>
      <c r="IV30" s="1136"/>
    </row>
    <row r="31" spans="1:256">
      <c r="A31" s="1140"/>
      <c r="B31" s="1137"/>
      <c r="C31" s="1151"/>
      <c r="D31" s="1151"/>
      <c r="E31" s="1137"/>
      <c r="F31" s="1137"/>
      <c r="G31" s="1137"/>
      <c r="H31" s="1151"/>
      <c r="I31" s="1151"/>
      <c r="J31" s="1136"/>
      <c r="K31" s="1136"/>
      <c r="L31" s="1136"/>
      <c r="M31" s="1136"/>
      <c r="N31" s="1136"/>
      <c r="O31" s="1136"/>
      <c r="P31" s="1136"/>
      <c r="Q31" s="1136"/>
      <c r="R31" s="1136"/>
      <c r="S31" s="1136"/>
      <c r="T31" s="1136"/>
      <c r="U31" s="1136"/>
      <c r="V31" s="1136"/>
      <c r="W31" s="1136"/>
      <c r="X31" s="1136"/>
      <c r="Y31" s="1136"/>
      <c r="Z31" s="1136"/>
      <c r="AA31" s="1136"/>
      <c r="AB31" s="1136"/>
      <c r="AC31" s="1136"/>
      <c r="AD31" s="1136"/>
      <c r="AE31" s="1136"/>
      <c r="AF31" s="1136"/>
      <c r="AG31" s="1136"/>
      <c r="AH31" s="1136"/>
      <c r="AI31" s="1136"/>
      <c r="AJ31" s="1136"/>
      <c r="AK31" s="1136"/>
      <c r="AL31" s="1136"/>
      <c r="AM31" s="1136"/>
      <c r="AN31" s="1136"/>
      <c r="AO31" s="1136"/>
      <c r="AP31" s="1136"/>
      <c r="AQ31" s="1136"/>
      <c r="AR31" s="1136"/>
      <c r="AS31" s="1136"/>
      <c r="AT31" s="1136"/>
      <c r="AU31" s="1136"/>
      <c r="AV31" s="1136"/>
      <c r="AW31" s="1136"/>
      <c r="AX31" s="1136"/>
      <c r="AY31" s="1136"/>
      <c r="AZ31" s="1136"/>
      <c r="BA31" s="1136"/>
      <c r="BB31" s="1136"/>
      <c r="BC31" s="1136"/>
      <c r="BD31" s="1136"/>
      <c r="BE31" s="1136"/>
      <c r="BF31" s="1136"/>
      <c r="BG31" s="1136"/>
      <c r="BH31" s="1136"/>
      <c r="BI31" s="1136"/>
      <c r="BJ31" s="1136"/>
      <c r="BK31" s="1136"/>
      <c r="BL31" s="1136"/>
      <c r="BM31" s="1136"/>
      <c r="BN31" s="1136"/>
      <c r="BO31" s="1136"/>
      <c r="BP31" s="1136"/>
      <c r="BQ31" s="1136"/>
      <c r="BR31" s="1136"/>
      <c r="BS31" s="1136"/>
      <c r="BT31" s="1136"/>
      <c r="BU31" s="1136"/>
      <c r="BV31" s="1136"/>
      <c r="BW31" s="1136"/>
      <c r="BX31" s="1136"/>
      <c r="BY31" s="1136"/>
      <c r="BZ31" s="1136"/>
      <c r="CA31" s="1136"/>
      <c r="CB31" s="1136"/>
      <c r="CC31" s="1136"/>
      <c r="CD31" s="1136"/>
      <c r="CE31" s="1136"/>
      <c r="CF31" s="1136"/>
      <c r="CG31" s="1136"/>
      <c r="CH31" s="1136"/>
      <c r="CI31" s="1136"/>
      <c r="CJ31" s="1136"/>
      <c r="CK31" s="1136"/>
      <c r="CL31" s="1136"/>
      <c r="CM31" s="1136"/>
      <c r="CN31" s="1136"/>
      <c r="CO31" s="1136"/>
      <c r="CP31" s="1136"/>
      <c r="CQ31" s="1136"/>
      <c r="CR31" s="1136"/>
      <c r="CS31" s="1136"/>
      <c r="CT31" s="1136"/>
      <c r="CU31" s="1136"/>
      <c r="CV31" s="1136"/>
      <c r="CW31" s="1136"/>
      <c r="CX31" s="1136"/>
      <c r="CY31" s="1136"/>
      <c r="CZ31" s="1136"/>
      <c r="DA31" s="1136"/>
      <c r="DB31" s="1136"/>
      <c r="DC31" s="1136"/>
      <c r="DD31" s="1136"/>
      <c r="DE31" s="1136"/>
      <c r="DF31" s="1136"/>
      <c r="DG31" s="1136"/>
      <c r="DH31" s="1136"/>
      <c r="DI31" s="1136"/>
      <c r="DJ31" s="1136"/>
      <c r="DK31" s="1136"/>
      <c r="DL31" s="1136"/>
      <c r="DM31" s="1136"/>
      <c r="DN31" s="1136"/>
      <c r="DO31" s="1136"/>
      <c r="DP31" s="1136"/>
      <c r="DQ31" s="1136"/>
      <c r="DR31" s="1136"/>
      <c r="DS31" s="1136"/>
      <c r="DT31" s="1136"/>
      <c r="DU31" s="1136"/>
      <c r="DV31" s="1136"/>
      <c r="DW31" s="1136"/>
      <c r="DX31" s="1136"/>
      <c r="DY31" s="1136"/>
      <c r="DZ31" s="1136"/>
      <c r="EA31" s="1136"/>
      <c r="EB31" s="1136"/>
      <c r="EC31" s="1136"/>
      <c r="ED31" s="1136"/>
      <c r="EE31" s="1136"/>
      <c r="EF31" s="1136"/>
      <c r="EG31" s="1136"/>
      <c r="EH31" s="1136"/>
      <c r="EI31" s="1136"/>
      <c r="EJ31" s="1136"/>
      <c r="EK31" s="1136"/>
      <c r="EL31" s="1136"/>
      <c r="EM31" s="1136"/>
      <c r="EN31" s="1136"/>
      <c r="EO31" s="1136"/>
      <c r="EP31" s="1136"/>
      <c r="EQ31" s="1136"/>
      <c r="ER31" s="1136"/>
      <c r="ES31" s="1136"/>
      <c r="ET31" s="1136"/>
      <c r="EU31" s="1136"/>
      <c r="EV31" s="1136"/>
      <c r="EW31" s="1136"/>
      <c r="EX31" s="1136"/>
      <c r="EY31" s="1136"/>
      <c r="EZ31" s="1136"/>
      <c r="FA31" s="1136"/>
      <c r="FB31" s="1136"/>
      <c r="FC31" s="1136"/>
      <c r="FD31" s="1136"/>
      <c r="FE31" s="1136"/>
      <c r="FF31" s="1136"/>
      <c r="FG31" s="1136"/>
      <c r="FH31" s="1136"/>
      <c r="FI31" s="1136"/>
      <c r="FJ31" s="1136"/>
      <c r="FK31" s="1136"/>
      <c r="FL31" s="1136"/>
      <c r="FM31" s="1136"/>
      <c r="FN31" s="1136"/>
      <c r="FO31" s="1136"/>
      <c r="FP31" s="1136"/>
      <c r="FQ31" s="1136"/>
      <c r="FR31" s="1136"/>
      <c r="FS31" s="1136"/>
      <c r="FT31" s="1136"/>
      <c r="FU31" s="1136"/>
      <c r="FV31" s="1136"/>
      <c r="FW31" s="1136"/>
      <c r="FX31" s="1136"/>
      <c r="FY31" s="1136"/>
      <c r="FZ31" s="1136"/>
      <c r="GA31" s="1136"/>
      <c r="GB31" s="1136"/>
      <c r="GC31" s="1136"/>
      <c r="GD31" s="1136"/>
      <c r="GE31" s="1136"/>
      <c r="GF31" s="1136"/>
      <c r="GG31" s="1136"/>
      <c r="GH31" s="1136"/>
      <c r="GI31" s="1136"/>
      <c r="GJ31" s="1136"/>
      <c r="GK31" s="1136"/>
      <c r="GL31" s="1136"/>
      <c r="GM31" s="1136"/>
      <c r="GN31" s="1136"/>
      <c r="GO31" s="1136"/>
      <c r="GP31" s="1136"/>
      <c r="GQ31" s="1136"/>
      <c r="GR31" s="1136"/>
      <c r="GS31" s="1136"/>
      <c r="GT31" s="1136"/>
      <c r="GU31" s="1136"/>
      <c r="GV31" s="1136"/>
      <c r="GW31" s="1136"/>
      <c r="GX31" s="1136"/>
      <c r="GY31" s="1136"/>
      <c r="GZ31" s="1136"/>
      <c r="HA31" s="1136"/>
      <c r="HB31" s="1136"/>
      <c r="HC31" s="1136"/>
      <c r="HD31" s="1136"/>
      <c r="HE31" s="1136"/>
      <c r="HF31" s="1136"/>
      <c r="HG31" s="1136"/>
      <c r="HH31" s="1136"/>
      <c r="HI31" s="1136"/>
      <c r="HJ31" s="1136"/>
      <c r="HK31" s="1136"/>
      <c r="HL31" s="1136"/>
      <c r="HM31" s="1136"/>
      <c r="HN31" s="1136"/>
      <c r="HO31" s="1136"/>
      <c r="HP31" s="1136"/>
      <c r="HQ31" s="1136"/>
      <c r="HR31" s="1136"/>
      <c r="HS31" s="1136"/>
      <c r="HT31" s="1136"/>
      <c r="HU31" s="1136"/>
      <c r="HV31" s="1136"/>
      <c r="HW31" s="1136"/>
      <c r="HX31" s="1136"/>
      <c r="HY31" s="1136"/>
      <c r="HZ31" s="1136"/>
      <c r="IA31" s="1136"/>
      <c r="IB31" s="1136"/>
      <c r="IC31" s="1136"/>
      <c r="ID31" s="1136"/>
      <c r="IE31" s="1136"/>
      <c r="IF31" s="1136"/>
      <c r="IG31" s="1136"/>
      <c r="IH31" s="1136"/>
      <c r="II31" s="1136"/>
      <c r="IJ31" s="1136"/>
      <c r="IK31" s="1136"/>
      <c r="IL31" s="1136"/>
      <c r="IM31" s="1136"/>
      <c r="IN31" s="1136"/>
      <c r="IO31" s="1136"/>
      <c r="IP31" s="1136"/>
      <c r="IQ31" s="1136"/>
      <c r="IR31" s="1136"/>
      <c r="IS31" s="1136"/>
      <c r="IT31" s="1136"/>
      <c r="IU31" s="1136"/>
      <c r="IV31" s="1136"/>
    </row>
    <row r="32" spans="1:256">
      <c r="A32" s="1140">
        <f>+A30+1</f>
        <v>18</v>
      </c>
      <c r="B32" s="1137" t="s">
        <v>520</v>
      </c>
      <c r="C32" s="1151"/>
      <c r="D32" s="1149">
        <f>+D30</f>
        <v>0</v>
      </c>
      <c r="E32" s="1137"/>
      <c r="F32" s="1137"/>
      <c r="G32" s="1137"/>
      <c r="H32" s="1151"/>
      <c r="I32" s="1149">
        <f>+I30</f>
        <v>0</v>
      </c>
      <c r="J32" s="1136"/>
      <c r="K32" s="1136"/>
      <c r="L32" s="1136"/>
      <c r="M32" s="1136"/>
      <c r="N32" s="1136"/>
      <c r="O32" s="1136"/>
      <c r="P32" s="1136"/>
      <c r="Q32" s="1136"/>
      <c r="R32" s="1136"/>
      <c r="S32" s="1136"/>
      <c r="T32" s="1136"/>
      <c r="U32" s="1136"/>
      <c r="V32" s="1136"/>
      <c r="W32" s="1136"/>
      <c r="X32" s="1136"/>
      <c r="Y32" s="1136"/>
      <c r="Z32" s="1136"/>
      <c r="AA32" s="1136"/>
      <c r="AB32" s="1136"/>
      <c r="AC32" s="1136"/>
      <c r="AD32" s="1136"/>
      <c r="AE32" s="1136"/>
      <c r="AF32" s="1136"/>
      <c r="AG32" s="1136"/>
      <c r="AH32" s="1136"/>
      <c r="AI32" s="1136"/>
      <c r="AJ32" s="1136"/>
      <c r="AK32" s="1136"/>
      <c r="AL32" s="1136"/>
      <c r="AM32" s="1136"/>
      <c r="AN32" s="1136"/>
      <c r="AO32" s="1136"/>
      <c r="AP32" s="1136"/>
      <c r="AQ32" s="1136"/>
      <c r="AR32" s="1136"/>
      <c r="AS32" s="1136"/>
      <c r="AT32" s="1136"/>
      <c r="AU32" s="1136"/>
      <c r="AV32" s="1136"/>
      <c r="AW32" s="1136"/>
      <c r="AX32" s="1136"/>
      <c r="AY32" s="1136"/>
      <c r="AZ32" s="1136"/>
      <c r="BA32" s="1136"/>
      <c r="BB32" s="1136"/>
      <c r="BC32" s="1136"/>
      <c r="BD32" s="1136"/>
      <c r="BE32" s="1136"/>
      <c r="BF32" s="1136"/>
      <c r="BG32" s="1136"/>
      <c r="BH32" s="1136"/>
      <c r="BI32" s="1136"/>
      <c r="BJ32" s="1136"/>
      <c r="BK32" s="1136"/>
      <c r="BL32" s="1136"/>
      <c r="BM32" s="1136"/>
      <c r="BN32" s="1136"/>
      <c r="BO32" s="1136"/>
      <c r="BP32" s="1136"/>
      <c r="BQ32" s="1136"/>
      <c r="BR32" s="1136"/>
      <c r="BS32" s="1136"/>
      <c r="BT32" s="1136"/>
      <c r="BU32" s="1136"/>
      <c r="BV32" s="1136"/>
      <c r="BW32" s="1136"/>
      <c r="BX32" s="1136"/>
      <c r="BY32" s="1136"/>
      <c r="BZ32" s="1136"/>
      <c r="CA32" s="1136"/>
      <c r="CB32" s="1136"/>
      <c r="CC32" s="1136"/>
      <c r="CD32" s="1136"/>
      <c r="CE32" s="1136"/>
      <c r="CF32" s="1136"/>
      <c r="CG32" s="1136"/>
      <c r="CH32" s="1136"/>
      <c r="CI32" s="1136"/>
      <c r="CJ32" s="1136"/>
      <c r="CK32" s="1136"/>
      <c r="CL32" s="1136"/>
      <c r="CM32" s="1136"/>
      <c r="CN32" s="1136"/>
      <c r="CO32" s="1136"/>
      <c r="CP32" s="1136"/>
      <c r="CQ32" s="1136"/>
      <c r="CR32" s="1136"/>
      <c r="CS32" s="1136"/>
      <c r="CT32" s="1136"/>
      <c r="CU32" s="1136"/>
      <c r="CV32" s="1136"/>
      <c r="CW32" s="1136"/>
      <c r="CX32" s="1136"/>
      <c r="CY32" s="1136"/>
      <c r="CZ32" s="1136"/>
      <c r="DA32" s="1136"/>
      <c r="DB32" s="1136"/>
      <c r="DC32" s="1136"/>
      <c r="DD32" s="1136"/>
      <c r="DE32" s="1136"/>
      <c r="DF32" s="1136"/>
      <c r="DG32" s="1136"/>
      <c r="DH32" s="1136"/>
      <c r="DI32" s="1136"/>
      <c r="DJ32" s="1136"/>
      <c r="DK32" s="1136"/>
      <c r="DL32" s="1136"/>
      <c r="DM32" s="1136"/>
      <c r="DN32" s="1136"/>
      <c r="DO32" s="1136"/>
      <c r="DP32" s="1136"/>
      <c r="DQ32" s="1136"/>
      <c r="DR32" s="1136"/>
      <c r="DS32" s="1136"/>
      <c r="DT32" s="1136"/>
      <c r="DU32" s="1136"/>
      <c r="DV32" s="1136"/>
      <c r="DW32" s="1136"/>
      <c r="DX32" s="1136"/>
      <c r="DY32" s="1136"/>
      <c r="DZ32" s="1136"/>
      <c r="EA32" s="1136"/>
      <c r="EB32" s="1136"/>
      <c r="EC32" s="1136"/>
      <c r="ED32" s="1136"/>
      <c r="EE32" s="1136"/>
      <c r="EF32" s="1136"/>
      <c r="EG32" s="1136"/>
      <c r="EH32" s="1136"/>
      <c r="EI32" s="1136"/>
      <c r="EJ32" s="1136"/>
      <c r="EK32" s="1136"/>
      <c r="EL32" s="1136"/>
      <c r="EM32" s="1136"/>
      <c r="EN32" s="1136"/>
      <c r="EO32" s="1136"/>
      <c r="EP32" s="1136"/>
      <c r="EQ32" s="1136"/>
      <c r="ER32" s="1136"/>
      <c r="ES32" s="1136"/>
      <c r="ET32" s="1136"/>
      <c r="EU32" s="1136"/>
      <c r="EV32" s="1136"/>
      <c r="EW32" s="1136"/>
      <c r="EX32" s="1136"/>
      <c r="EY32" s="1136"/>
      <c r="EZ32" s="1136"/>
      <c r="FA32" s="1136"/>
      <c r="FB32" s="1136"/>
      <c r="FC32" s="1136"/>
      <c r="FD32" s="1136"/>
      <c r="FE32" s="1136"/>
      <c r="FF32" s="1136"/>
      <c r="FG32" s="1136"/>
      <c r="FH32" s="1136"/>
      <c r="FI32" s="1136"/>
      <c r="FJ32" s="1136"/>
      <c r="FK32" s="1136"/>
      <c r="FL32" s="1136"/>
      <c r="FM32" s="1136"/>
      <c r="FN32" s="1136"/>
      <c r="FO32" s="1136"/>
      <c r="FP32" s="1136"/>
      <c r="FQ32" s="1136"/>
      <c r="FR32" s="1136"/>
      <c r="FS32" s="1136"/>
      <c r="FT32" s="1136"/>
      <c r="FU32" s="1136"/>
      <c r="FV32" s="1136"/>
      <c r="FW32" s="1136"/>
      <c r="FX32" s="1136"/>
      <c r="FY32" s="1136"/>
      <c r="FZ32" s="1136"/>
      <c r="GA32" s="1136"/>
      <c r="GB32" s="1136"/>
      <c r="GC32" s="1136"/>
      <c r="GD32" s="1136"/>
      <c r="GE32" s="1136"/>
      <c r="GF32" s="1136"/>
      <c r="GG32" s="1136"/>
      <c r="GH32" s="1136"/>
      <c r="GI32" s="1136"/>
      <c r="GJ32" s="1136"/>
      <c r="GK32" s="1136"/>
      <c r="GL32" s="1136"/>
      <c r="GM32" s="1136"/>
      <c r="GN32" s="1136"/>
      <c r="GO32" s="1136"/>
      <c r="GP32" s="1136"/>
      <c r="GQ32" s="1136"/>
      <c r="GR32" s="1136"/>
      <c r="GS32" s="1136"/>
      <c r="GT32" s="1136"/>
      <c r="GU32" s="1136"/>
      <c r="GV32" s="1136"/>
      <c r="GW32" s="1136"/>
      <c r="GX32" s="1136"/>
      <c r="GY32" s="1136"/>
      <c r="GZ32" s="1136"/>
      <c r="HA32" s="1136"/>
      <c r="HB32" s="1136"/>
      <c r="HC32" s="1136"/>
      <c r="HD32" s="1136"/>
      <c r="HE32" s="1136"/>
      <c r="HF32" s="1136"/>
      <c r="HG32" s="1136"/>
      <c r="HH32" s="1136"/>
      <c r="HI32" s="1136"/>
      <c r="HJ32" s="1136"/>
      <c r="HK32" s="1136"/>
      <c r="HL32" s="1136"/>
      <c r="HM32" s="1136"/>
      <c r="HN32" s="1136"/>
      <c r="HO32" s="1136"/>
      <c r="HP32" s="1136"/>
      <c r="HQ32" s="1136"/>
      <c r="HR32" s="1136"/>
      <c r="HS32" s="1136"/>
      <c r="HT32" s="1136"/>
      <c r="HU32" s="1136"/>
      <c r="HV32" s="1136"/>
      <c r="HW32" s="1136"/>
      <c r="HX32" s="1136"/>
      <c r="HY32" s="1136"/>
      <c r="HZ32" s="1136"/>
      <c r="IA32" s="1136"/>
      <c r="IB32" s="1136"/>
      <c r="IC32" s="1136"/>
      <c r="ID32" s="1136"/>
      <c r="IE32" s="1136"/>
      <c r="IF32" s="1136"/>
      <c r="IG32" s="1136"/>
      <c r="IH32" s="1136"/>
      <c r="II32" s="1136"/>
      <c r="IJ32" s="1136"/>
      <c r="IK32" s="1136"/>
      <c r="IL32" s="1136"/>
      <c r="IM32" s="1136"/>
      <c r="IN32" s="1136"/>
      <c r="IO32" s="1136"/>
      <c r="IP32" s="1136"/>
      <c r="IQ32" s="1136"/>
      <c r="IR32" s="1136"/>
      <c r="IS32" s="1136"/>
      <c r="IT32" s="1136"/>
      <c r="IU32" s="1136"/>
      <c r="IV32" s="1136"/>
    </row>
    <row r="33" spans="1:256">
      <c r="A33" s="1140"/>
      <c r="B33" s="1152"/>
      <c r="C33" s="1152"/>
      <c r="D33" s="1152"/>
      <c r="E33" s="1152"/>
      <c r="F33" s="1152"/>
      <c r="G33" s="1152"/>
      <c r="H33" s="1152"/>
      <c r="I33" s="1152"/>
      <c r="J33" s="1136"/>
      <c r="K33" s="1136"/>
      <c r="L33" s="1136"/>
      <c r="M33" s="1136"/>
      <c r="N33" s="1136"/>
      <c r="O33" s="1136"/>
      <c r="P33" s="1136"/>
      <c r="Q33" s="1136"/>
      <c r="R33" s="1136"/>
      <c r="S33" s="1136"/>
      <c r="T33" s="1136"/>
      <c r="U33" s="1136"/>
      <c r="V33" s="1136"/>
      <c r="W33" s="1136"/>
      <c r="X33" s="1136"/>
      <c r="Y33" s="1136"/>
      <c r="Z33" s="1136"/>
      <c r="AA33" s="1136"/>
      <c r="AB33" s="1136"/>
      <c r="AC33" s="1136"/>
      <c r="AD33" s="1136"/>
      <c r="AE33" s="1136"/>
      <c r="AF33" s="1136"/>
      <c r="AG33" s="1136"/>
      <c r="AH33" s="1136"/>
      <c r="AI33" s="1136"/>
      <c r="AJ33" s="1136"/>
      <c r="AK33" s="1136"/>
      <c r="AL33" s="1136"/>
      <c r="AM33" s="1136"/>
      <c r="AN33" s="1136"/>
      <c r="AO33" s="1136"/>
      <c r="AP33" s="1136"/>
      <c r="AQ33" s="1136"/>
      <c r="AR33" s="1136"/>
      <c r="AS33" s="1136"/>
      <c r="AT33" s="1136"/>
      <c r="AU33" s="1136"/>
      <c r="AV33" s="1136"/>
      <c r="AW33" s="1136"/>
      <c r="AX33" s="1136"/>
      <c r="AY33" s="1136"/>
      <c r="AZ33" s="1136"/>
      <c r="BA33" s="1136"/>
      <c r="BB33" s="1136"/>
      <c r="BC33" s="1136"/>
      <c r="BD33" s="1136"/>
      <c r="BE33" s="1136"/>
      <c r="BF33" s="1136"/>
      <c r="BG33" s="1136"/>
      <c r="BH33" s="1136"/>
      <c r="BI33" s="1136"/>
      <c r="BJ33" s="1136"/>
      <c r="BK33" s="1136"/>
      <c r="BL33" s="1136"/>
      <c r="BM33" s="1136"/>
      <c r="BN33" s="1136"/>
      <c r="BO33" s="1136"/>
      <c r="BP33" s="1136"/>
      <c r="BQ33" s="1136"/>
      <c r="BR33" s="1136"/>
      <c r="BS33" s="1136"/>
      <c r="BT33" s="1136"/>
      <c r="BU33" s="1136"/>
      <c r="BV33" s="1136"/>
      <c r="BW33" s="1136"/>
      <c r="BX33" s="1136"/>
      <c r="BY33" s="1136"/>
      <c r="BZ33" s="1136"/>
      <c r="CA33" s="1136"/>
      <c r="CB33" s="1136"/>
      <c r="CC33" s="1136"/>
      <c r="CD33" s="1136"/>
      <c r="CE33" s="1136"/>
      <c r="CF33" s="1136"/>
      <c r="CG33" s="1136"/>
      <c r="CH33" s="1136"/>
      <c r="CI33" s="1136"/>
      <c r="CJ33" s="1136"/>
      <c r="CK33" s="1136"/>
      <c r="CL33" s="1136"/>
      <c r="CM33" s="1136"/>
      <c r="CN33" s="1136"/>
      <c r="CO33" s="1136"/>
      <c r="CP33" s="1136"/>
      <c r="CQ33" s="1136"/>
      <c r="CR33" s="1136"/>
      <c r="CS33" s="1136"/>
      <c r="CT33" s="1136"/>
      <c r="CU33" s="1136"/>
      <c r="CV33" s="1136"/>
      <c r="CW33" s="1136"/>
      <c r="CX33" s="1136"/>
      <c r="CY33" s="1136"/>
      <c r="CZ33" s="1136"/>
      <c r="DA33" s="1136"/>
      <c r="DB33" s="1136"/>
      <c r="DC33" s="1136"/>
      <c r="DD33" s="1136"/>
      <c r="DE33" s="1136"/>
      <c r="DF33" s="1136"/>
      <c r="DG33" s="1136"/>
      <c r="DH33" s="1136"/>
      <c r="DI33" s="1136"/>
      <c r="DJ33" s="1136"/>
      <c r="DK33" s="1136"/>
      <c r="DL33" s="1136"/>
      <c r="DM33" s="1136"/>
      <c r="DN33" s="1136"/>
      <c r="DO33" s="1136"/>
      <c r="DP33" s="1136"/>
      <c r="DQ33" s="1136"/>
      <c r="DR33" s="1136"/>
      <c r="DS33" s="1136"/>
      <c r="DT33" s="1136"/>
      <c r="DU33" s="1136"/>
      <c r="DV33" s="1136"/>
      <c r="DW33" s="1136"/>
      <c r="DX33" s="1136"/>
      <c r="DY33" s="1136"/>
      <c r="DZ33" s="1136"/>
      <c r="EA33" s="1136"/>
      <c r="EB33" s="1136"/>
      <c r="EC33" s="1136"/>
      <c r="ED33" s="1136"/>
      <c r="EE33" s="1136"/>
      <c r="EF33" s="1136"/>
      <c r="EG33" s="1136"/>
      <c r="EH33" s="1136"/>
      <c r="EI33" s="1136"/>
      <c r="EJ33" s="1136"/>
      <c r="EK33" s="1136"/>
      <c r="EL33" s="1136"/>
      <c r="EM33" s="1136"/>
      <c r="EN33" s="1136"/>
      <c r="EO33" s="1136"/>
      <c r="EP33" s="1136"/>
      <c r="EQ33" s="1136"/>
      <c r="ER33" s="1136"/>
      <c r="ES33" s="1136"/>
      <c r="ET33" s="1136"/>
      <c r="EU33" s="1136"/>
      <c r="EV33" s="1136"/>
      <c r="EW33" s="1136"/>
      <c r="EX33" s="1136"/>
      <c r="EY33" s="1136"/>
      <c r="EZ33" s="1136"/>
      <c r="FA33" s="1136"/>
      <c r="FB33" s="1136"/>
      <c r="FC33" s="1136"/>
      <c r="FD33" s="1136"/>
      <c r="FE33" s="1136"/>
      <c r="FF33" s="1136"/>
      <c r="FG33" s="1136"/>
      <c r="FH33" s="1136"/>
      <c r="FI33" s="1136"/>
      <c r="FJ33" s="1136"/>
      <c r="FK33" s="1136"/>
      <c r="FL33" s="1136"/>
      <c r="FM33" s="1136"/>
      <c r="FN33" s="1136"/>
      <c r="FO33" s="1136"/>
      <c r="FP33" s="1136"/>
      <c r="FQ33" s="1136"/>
      <c r="FR33" s="1136"/>
      <c r="FS33" s="1136"/>
      <c r="FT33" s="1136"/>
      <c r="FU33" s="1136"/>
      <c r="FV33" s="1136"/>
      <c r="FW33" s="1136"/>
      <c r="FX33" s="1136"/>
      <c r="FY33" s="1136"/>
      <c r="FZ33" s="1136"/>
      <c r="GA33" s="1136"/>
      <c r="GB33" s="1136"/>
      <c r="GC33" s="1136"/>
      <c r="GD33" s="1136"/>
      <c r="GE33" s="1136"/>
      <c r="GF33" s="1136"/>
      <c r="GG33" s="1136"/>
      <c r="GH33" s="1136"/>
      <c r="GI33" s="1136"/>
      <c r="GJ33" s="1136"/>
      <c r="GK33" s="1136"/>
      <c r="GL33" s="1136"/>
      <c r="GM33" s="1136"/>
      <c r="GN33" s="1136"/>
      <c r="GO33" s="1136"/>
      <c r="GP33" s="1136"/>
      <c r="GQ33" s="1136"/>
      <c r="GR33" s="1136"/>
      <c r="GS33" s="1136"/>
      <c r="GT33" s="1136"/>
      <c r="GU33" s="1136"/>
      <c r="GV33" s="1136"/>
      <c r="GW33" s="1136"/>
      <c r="GX33" s="1136"/>
      <c r="GY33" s="1136"/>
      <c r="GZ33" s="1136"/>
      <c r="HA33" s="1136"/>
      <c r="HB33" s="1136"/>
      <c r="HC33" s="1136"/>
      <c r="HD33" s="1136"/>
      <c r="HE33" s="1136"/>
      <c r="HF33" s="1136"/>
      <c r="HG33" s="1136"/>
      <c r="HH33" s="1136"/>
      <c r="HI33" s="1136"/>
      <c r="HJ33" s="1136"/>
      <c r="HK33" s="1136"/>
      <c r="HL33" s="1136"/>
      <c r="HM33" s="1136"/>
      <c r="HN33" s="1136"/>
      <c r="HO33" s="1136"/>
      <c r="HP33" s="1136"/>
      <c r="HQ33" s="1136"/>
      <c r="HR33" s="1136"/>
      <c r="HS33" s="1136"/>
      <c r="HT33" s="1136"/>
      <c r="HU33" s="1136"/>
      <c r="HV33" s="1136"/>
      <c r="HW33" s="1136"/>
      <c r="HX33" s="1136"/>
      <c r="HY33" s="1136"/>
      <c r="HZ33" s="1136"/>
      <c r="IA33" s="1136"/>
      <c r="IB33" s="1136"/>
      <c r="IC33" s="1136"/>
      <c r="ID33" s="1136"/>
      <c r="IE33" s="1136"/>
      <c r="IF33" s="1136"/>
      <c r="IG33" s="1136"/>
      <c r="IH33" s="1136"/>
      <c r="II33" s="1136"/>
      <c r="IJ33" s="1136"/>
      <c r="IK33" s="1136"/>
      <c r="IL33" s="1136"/>
      <c r="IM33" s="1136"/>
      <c r="IN33" s="1136"/>
      <c r="IO33" s="1136"/>
      <c r="IP33" s="1136"/>
      <c r="IQ33" s="1136"/>
      <c r="IR33" s="1136"/>
      <c r="IS33" s="1136"/>
      <c r="IT33" s="1136"/>
      <c r="IU33" s="1136"/>
      <c r="IV33" s="1136"/>
    </row>
    <row r="34" spans="1:256" ht="13.5" thickBot="1">
      <c r="A34" s="1140">
        <f>+A32+1</f>
        <v>19</v>
      </c>
      <c r="B34" s="1153" t="str">
        <f>"Proration Adjustment - Line "&amp;A32&amp;" Col. "&amp;I16&amp;" less Col. "&amp;D16</f>
        <v>Proration Adjustment - Line 18 Col. (H) less Col. (C )</v>
      </c>
      <c r="C34" s="1153"/>
      <c r="D34" s="1153"/>
      <c r="E34" s="1153"/>
      <c r="F34" s="1153"/>
      <c r="G34" s="1153"/>
      <c r="H34" s="1153"/>
      <c r="I34" s="1154">
        <f>+I32-D32</f>
        <v>0</v>
      </c>
      <c r="J34" s="1136"/>
      <c r="K34" s="1136"/>
      <c r="L34" s="1136"/>
      <c r="M34" s="1136"/>
      <c r="N34" s="1136"/>
      <c r="O34" s="1136"/>
      <c r="P34" s="1136"/>
      <c r="Q34" s="1136"/>
      <c r="R34" s="1136"/>
      <c r="S34" s="1136"/>
      <c r="T34" s="1136"/>
      <c r="U34" s="1136"/>
      <c r="V34" s="1136"/>
      <c r="W34" s="1136"/>
      <c r="X34" s="1136"/>
      <c r="Y34" s="1136"/>
      <c r="Z34" s="1136"/>
      <c r="AA34" s="1136"/>
      <c r="AB34" s="1136"/>
      <c r="AC34" s="1136"/>
      <c r="AD34" s="1136"/>
      <c r="AE34" s="1136"/>
      <c r="AF34" s="1136"/>
      <c r="AG34" s="1136"/>
      <c r="AH34" s="1136"/>
      <c r="AI34" s="1136"/>
      <c r="AJ34" s="1136"/>
      <c r="AK34" s="1136"/>
      <c r="AL34" s="1136"/>
      <c r="AM34" s="1136"/>
      <c r="AN34" s="1136"/>
      <c r="AO34" s="1136"/>
      <c r="AP34" s="1136"/>
      <c r="AQ34" s="1136"/>
      <c r="AR34" s="1136"/>
      <c r="AS34" s="1136"/>
      <c r="AT34" s="1136"/>
      <c r="AU34" s="1136"/>
      <c r="AV34" s="1136"/>
      <c r="AW34" s="1136"/>
      <c r="AX34" s="1136"/>
      <c r="AY34" s="1136"/>
      <c r="AZ34" s="1136"/>
      <c r="BA34" s="1136"/>
      <c r="BB34" s="1136"/>
      <c r="BC34" s="1136"/>
      <c r="BD34" s="1136"/>
      <c r="BE34" s="1136"/>
      <c r="BF34" s="1136"/>
      <c r="BG34" s="1136"/>
      <c r="BH34" s="1136"/>
      <c r="BI34" s="1136"/>
      <c r="BJ34" s="1136"/>
      <c r="BK34" s="1136"/>
      <c r="BL34" s="1136"/>
      <c r="BM34" s="1136"/>
      <c r="BN34" s="1136"/>
      <c r="BO34" s="1136"/>
      <c r="BP34" s="1136"/>
      <c r="BQ34" s="1136"/>
      <c r="BR34" s="1136"/>
      <c r="BS34" s="1136"/>
      <c r="BT34" s="1136"/>
      <c r="BU34" s="1136"/>
      <c r="BV34" s="1136"/>
      <c r="BW34" s="1136"/>
      <c r="BX34" s="1136"/>
      <c r="BY34" s="1136"/>
      <c r="BZ34" s="1136"/>
      <c r="CA34" s="1136"/>
      <c r="CB34" s="1136"/>
      <c r="CC34" s="1136"/>
      <c r="CD34" s="1136"/>
      <c r="CE34" s="1136"/>
      <c r="CF34" s="1136"/>
      <c r="CG34" s="1136"/>
      <c r="CH34" s="1136"/>
      <c r="CI34" s="1136"/>
      <c r="CJ34" s="1136"/>
      <c r="CK34" s="1136"/>
      <c r="CL34" s="1136"/>
      <c r="CM34" s="1136"/>
      <c r="CN34" s="1136"/>
      <c r="CO34" s="1136"/>
      <c r="CP34" s="1136"/>
      <c r="CQ34" s="1136"/>
      <c r="CR34" s="1136"/>
      <c r="CS34" s="1136"/>
      <c r="CT34" s="1136"/>
      <c r="CU34" s="1136"/>
      <c r="CV34" s="1136"/>
      <c r="CW34" s="1136"/>
      <c r="CX34" s="1136"/>
      <c r="CY34" s="1136"/>
      <c r="CZ34" s="1136"/>
      <c r="DA34" s="1136"/>
      <c r="DB34" s="1136"/>
      <c r="DC34" s="1136"/>
      <c r="DD34" s="1136"/>
      <c r="DE34" s="1136"/>
      <c r="DF34" s="1136"/>
      <c r="DG34" s="1136"/>
      <c r="DH34" s="1136"/>
      <c r="DI34" s="1136"/>
      <c r="DJ34" s="1136"/>
      <c r="DK34" s="1136"/>
      <c r="DL34" s="1136"/>
      <c r="DM34" s="1136"/>
      <c r="DN34" s="1136"/>
      <c r="DO34" s="1136"/>
      <c r="DP34" s="1136"/>
      <c r="DQ34" s="1136"/>
      <c r="DR34" s="1136"/>
      <c r="DS34" s="1136"/>
      <c r="DT34" s="1136"/>
      <c r="DU34" s="1136"/>
      <c r="DV34" s="1136"/>
      <c r="DW34" s="1136"/>
      <c r="DX34" s="1136"/>
      <c r="DY34" s="1136"/>
      <c r="DZ34" s="1136"/>
      <c r="EA34" s="1136"/>
      <c r="EB34" s="1136"/>
      <c r="EC34" s="1136"/>
      <c r="ED34" s="1136"/>
      <c r="EE34" s="1136"/>
      <c r="EF34" s="1136"/>
      <c r="EG34" s="1136"/>
      <c r="EH34" s="1136"/>
      <c r="EI34" s="1136"/>
      <c r="EJ34" s="1136"/>
      <c r="EK34" s="1136"/>
      <c r="EL34" s="1136"/>
      <c r="EM34" s="1136"/>
      <c r="EN34" s="1136"/>
      <c r="EO34" s="1136"/>
      <c r="EP34" s="1136"/>
      <c r="EQ34" s="1136"/>
      <c r="ER34" s="1136"/>
      <c r="ES34" s="1136"/>
      <c r="ET34" s="1136"/>
      <c r="EU34" s="1136"/>
      <c r="EV34" s="1136"/>
      <c r="EW34" s="1136"/>
      <c r="EX34" s="1136"/>
      <c r="EY34" s="1136"/>
      <c r="EZ34" s="1136"/>
      <c r="FA34" s="1136"/>
      <c r="FB34" s="1136"/>
      <c r="FC34" s="1136"/>
      <c r="FD34" s="1136"/>
      <c r="FE34" s="1136"/>
      <c r="FF34" s="1136"/>
      <c r="FG34" s="1136"/>
      <c r="FH34" s="1136"/>
      <c r="FI34" s="1136"/>
      <c r="FJ34" s="1136"/>
      <c r="FK34" s="1136"/>
      <c r="FL34" s="1136"/>
      <c r="FM34" s="1136"/>
      <c r="FN34" s="1136"/>
      <c r="FO34" s="1136"/>
      <c r="FP34" s="1136"/>
      <c r="FQ34" s="1136"/>
      <c r="FR34" s="1136"/>
      <c r="FS34" s="1136"/>
      <c r="FT34" s="1136"/>
      <c r="FU34" s="1136"/>
      <c r="FV34" s="1136"/>
      <c r="FW34" s="1136"/>
      <c r="FX34" s="1136"/>
      <c r="FY34" s="1136"/>
      <c r="FZ34" s="1136"/>
      <c r="GA34" s="1136"/>
      <c r="GB34" s="1136"/>
      <c r="GC34" s="1136"/>
      <c r="GD34" s="1136"/>
      <c r="GE34" s="1136"/>
      <c r="GF34" s="1136"/>
      <c r="GG34" s="1136"/>
      <c r="GH34" s="1136"/>
      <c r="GI34" s="1136"/>
      <c r="GJ34" s="1136"/>
      <c r="GK34" s="1136"/>
      <c r="GL34" s="1136"/>
      <c r="GM34" s="1136"/>
      <c r="GN34" s="1136"/>
      <c r="GO34" s="1136"/>
      <c r="GP34" s="1136"/>
      <c r="GQ34" s="1136"/>
      <c r="GR34" s="1136"/>
      <c r="GS34" s="1136"/>
      <c r="GT34" s="1136"/>
      <c r="GU34" s="1136"/>
      <c r="GV34" s="1136"/>
      <c r="GW34" s="1136"/>
      <c r="GX34" s="1136"/>
      <c r="GY34" s="1136"/>
      <c r="GZ34" s="1136"/>
      <c r="HA34" s="1136"/>
      <c r="HB34" s="1136"/>
      <c r="HC34" s="1136"/>
      <c r="HD34" s="1136"/>
      <c r="HE34" s="1136"/>
      <c r="HF34" s="1136"/>
      <c r="HG34" s="1136"/>
      <c r="HH34" s="1136"/>
      <c r="HI34" s="1136"/>
      <c r="HJ34" s="1136"/>
      <c r="HK34" s="1136"/>
      <c r="HL34" s="1136"/>
      <c r="HM34" s="1136"/>
      <c r="HN34" s="1136"/>
      <c r="HO34" s="1136"/>
      <c r="HP34" s="1136"/>
      <c r="HQ34" s="1136"/>
      <c r="HR34" s="1136"/>
      <c r="HS34" s="1136"/>
      <c r="HT34" s="1136"/>
      <c r="HU34" s="1136"/>
      <c r="HV34" s="1136"/>
      <c r="HW34" s="1136"/>
      <c r="HX34" s="1136"/>
      <c r="HY34" s="1136"/>
      <c r="HZ34" s="1136"/>
      <c r="IA34" s="1136"/>
      <c r="IB34" s="1136"/>
      <c r="IC34" s="1136"/>
      <c r="ID34" s="1136"/>
      <c r="IE34" s="1136"/>
      <c r="IF34" s="1136"/>
      <c r="IG34" s="1136"/>
      <c r="IH34" s="1136"/>
      <c r="II34" s="1136"/>
      <c r="IJ34" s="1136"/>
      <c r="IK34" s="1136"/>
      <c r="IL34" s="1136"/>
      <c r="IM34" s="1136"/>
      <c r="IN34" s="1136"/>
      <c r="IO34" s="1136"/>
      <c r="IP34" s="1136"/>
      <c r="IQ34" s="1136"/>
      <c r="IR34" s="1136"/>
      <c r="IS34" s="1136"/>
      <c r="IT34" s="1136"/>
      <c r="IU34" s="1136"/>
      <c r="IV34" s="1136"/>
    </row>
    <row r="35" spans="1:256" ht="13.5" thickTop="1">
      <c r="A35" s="1136"/>
      <c r="B35" s="1152"/>
      <c r="C35" s="1152"/>
      <c r="D35" s="1152"/>
      <c r="E35" s="1152"/>
      <c r="F35" s="1152"/>
      <c r="G35" s="1152"/>
      <c r="H35" s="1152"/>
      <c r="I35" s="1152"/>
      <c r="J35" s="1136"/>
      <c r="K35" s="1136"/>
      <c r="L35" s="1136"/>
      <c r="M35" s="1136"/>
      <c r="N35" s="1136"/>
      <c r="O35" s="1136"/>
      <c r="P35" s="1136"/>
      <c r="Q35" s="1136"/>
      <c r="R35" s="1136"/>
      <c r="S35" s="1136"/>
      <c r="T35" s="1136"/>
      <c r="U35" s="1136"/>
      <c r="V35" s="1136"/>
      <c r="W35" s="1136"/>
      <c r="X35" s="1136"/>
      <c r="Y35" s="1136"/>
      <c r="Z35" s="1136"/>
      <c r="AA35" s="1136"/>
      <c r="AB35" s="1136"/>
      <c r="AC35" s="1136"/>
      <c r="AD35" s="1136"/>
      <c r="AE35" s="1136"/>
      <c r="AF35" s="1136"/>
      <c r="AG35" s="1136"/>
      <c r="AH35" s="1136"/>
      <c r="AI35" s="1136"/>
      <c r="AJ35" s="1136"/>
      <c r="AK35" s="1136"/>
      <c r="AL35" s="1136"/>
      <c r="AM35" s="1136"/>
      <c r="AN35" s="1136"/>
      <c r="AO35" s="1136"/>
      <c r="AP35" s="1136"/>
      <c r="AQ35" s="1136"/>
      <c r="AR35" s="1136"/>
      <c r="AS35" s="1136"/>
      <c r="AT35" s="1136"/>
      <c r="AU35" s="1136"/>
      <c r="AV35" s="1136"/>
      <c r="AW35" s="1136"/>
      <c r="AX35" s="1136"/>
      <c r="AY35" s="1136"/>
      <c r="AZ35" s="1136"/>
      <c r="BA35" s="1136"/>
      <c r="BB35" s="1136"/>
      <c r="BC35" s="1136"/>
      <c r="BD35" s="1136"/>
      <c r="BE35" s="1136"/>
      <c r="BF35" s="1136"/>
      <c r="BG35" s="1136"/>
      <c r="BH35" s="1136"/>
      <c r="BI35" s="1136"/>
      <c r="BJ35" s="1136"/>
      <c r="BK35" s="1136"/>
      <c r="BL35" s="1136"/>
      <c r="BM35" s="1136"/>
      <c r="BN35" s="1136"/>
      <c r="BO35" s="1136"/>
      <c r="BP35" s="1136"/>
      <c r="BQ35" s="1136"/>
      <c r="BR35" s="1136"/>
      <c r="BS35" s="1136"/>
      <c r="BT35" s="1136"/>
      <c r="BU35" s="1136"/>
      <c r="BV35" s="1136"/>
      <c r="BW35" s="1136"/>
      <c r="BX35" s="1136"/>
      <c r="BY35" s="1136"/>
      <c r="BZ35" s="1136"/>
      <c r="CA35" s="1136"/>
      <c r="CB35" s="1136"/>
      <c r="CC35" s="1136"/>
      <c r="CD35" s="1136"/>
      <c r="CE35" s="1136"/>
      <c r="CF35" s="1136"/>
      <c r="CG35" s="1136"/>
      <c r="CH35" s="1136"/>
      <c r="CI35" s="1136"/>
      <c r="CJ35" s="1136"/>
      <c r="CK35" s="1136"/>
      <c r="CL35" s="1136"/>
      <c r="CM35" s="1136"/>
      <c r="CN35" s="1136"/>
      <c r="CO35" s="1136"/>
      <c r="CP35" s="1136"/>
      <c r="CQ35" s="1136"/>
      <c r="CR35" s="1136"/>
      <c r="CS35" s="1136"/>
      <c r="CT35" s="1136"/>
      <c r="CU35" s="1136"/>
      <c r="CV35" s="1136"/>
      <c r="CW35" s="1136"/>
      <c r="CX35" s="1136"/>
      <c r="CY35" s="1136"/>
      <c r="CZ35" s="1136"/>
      <c r="DA35" s="1136"/>
      <c r="DB35" s="1136"/>
      <c r="DC35" s="1136"/>
      <c r="DD35" s="1136"/>
      <c r="DE35" s="1136"/>
      <c r="DF35" s="1136"/>
      <c r="DG35" s="1136"/>
      <c r="DH35" s="1136"/>
      <c r="DI35" s="1136"/>
      <c r="DJ35" s="1136"/>
      <c r="DK35" s="1136"/>
      <c r="DL35" s="1136"/>
      <c r="DM35" s="1136"/>
      <c r="DN35" s="1136"/>
      <c r="DO35" s="1136"/>
      <c r="DP35" s="1136"/>
      <c r="DQ35" s="1136"/>
      <c r="DR35" s="1136"/>
      <c r="DS35" s="1136"/>
      <c r="DT35" s="1136"/>
      <c r="DU35" s="1136"/>
      <c r="DV35" s="1136"/>
      <c r="DW35" s="1136"/>
      <c r="DX35" s="1136"/>
      <c r="DY35" s="1136"/>
      <c r="DZ35" s="1136"/>
      <c r="EA35" s="1136"/>
      <c r="EB35" s="1136"/>
      <c r="EC35" s="1136"/>
      <c r="ED35" s="1136"/>
      <c r="EE35" s="1136"/>
      <c r="EF35" s="1136"/>
      <c r="EG35" s="1136"/>
      <c r="EH35" s="1136"/>
      <c r="EI35" s="1136"/>
      <c r="EJ35" s="1136"/>
      <c r="EK35" s="1136"/>
      <c r="EL35" s="1136"/>
      <c r="EM35" s="1136"/>
      <c r="EN35" s="1136"/>
      <c r="EO35" s="1136"/>
      <c r="EP35" s="1136"/>
      <c r="EQ35" s="1136"/>
      <c r="ER35" s="1136"/>
      <c r="ES35" s="1136"/>
      <c r="ET35" s="1136"/>
      <c r="EU35" s="1136"/>
      <c r="EV35" s="1136"/>
      <c r="EW35" s="1136"/>
      <c r="EX35" s="1136"/>
      <c r="EY35" s="1136"/>
      <c r="EZ35" s="1136"/>
      <c r="FA35" s="1136"/>
      <c r="FB35" s="1136"/>
      <c r="FC35" s="1136"/>
      <c r="FD35" s="1136"/>
      <c r="FE35" s="1136"/>
      <c r="FF35" s="1136"/>
      <c r="FG35" s="1136"/>
      <c r="FH35" s="1136"/>
      <c r="FI35" s="1136"/>
      <c r="FJ35" s="1136"/>
      <c r="FK35" s="1136"/>
      <c r="FL35" s="1136"/>
      <c r="FM35" s="1136"/>
      <c r="FN35" s="1136"/>
      <c r="FO35" s="1136"/>
      <c r="FP35" s="1136"/>
      <c r="FQ35" s="1136"/>
      <c r="FR35" s="1136"/>
      <c r="FS35" s="1136"/>
      <c r="FT35" s="1136"/>
      <c r="FU35" s="1136"/>
      <c r="FV35" s="1136"/>
      <c r="FW35" s="1136"/>
      <c r="FX35" s="1136"/>
      <c r="FY35" s="1136"/>
      <c r="FZ35" s="1136"/>
      <c r="GA35" s="1136"/>
      <c r="GB35" s="1136"/>
      <c r="GC35" s="1136"/>
      <c r="GD35" s="1136"/>
      <c r="GE35" s="1136"/>
      <c r="GF35" s="1136"/>
      <c r="GG35" s="1136"/>
      <c r="GH35" s="1136"/>
      <c r="GI35" s="1136"/>
      <c r="GJ35" s="1136"/>
      <c r="GK35" s="1136"/>
      <c r="GL35" s="1136"/>
      <c r="GM35" s="1136"/>
      <c r="GN35" s="1136"/>
      <c r="GO35" s="1136"/>
      <c r="GP35" s="1136"/>
      <c r="GQ35" s="1136"/>
      <c r="GR35" s="1136"/>
      <c r="GS35" s="1136"/>
      <c r="GT35" s="1136"/>
      <c r="GU35" s="1136"/>
      <c r="GV35" s="1136"/>
      <c r="GW35" s="1136"/>
      <c r="GX35" s="1136"/>
      <c r="GY35" s="1136"/>
      <c r="GZ35" s="1136"/>
      <c r="HA35" s="1136"/>
      <c r="HB35" s="1136"/>
      <c r="HC35" s="1136"/>
      <c r="HD35" s="1136"/>
      <c r="HE35" s="1136"/>
      <c r="HF35" s="1136"/>
      <c r="HG35" s="1136"/>
      <c r="HH35" s="1136"/>
      <c r="HI35" s="1136"/>
      <c r="HJ35" s="1136"/>
      <c r="HK35" s="1136"/>
      <c r="HL35" s="1136"/>
      <c r="HM35" s="1136"/>
      <c r="HN35" s="1136"/>
      <c r="HO35" s="1136"/>
      <c r="HP35" s="1136"/>
      <c r="HQ35" s="1136"/>
      <c r="HR35" s="1136"/>
      <c r="HS35" s="1136"/>
      <c r="HT35" s="1136"/>
      <c r="HU35" s="1136"/>
      <c r="HV35" s="1136"/>
      <c r="HW35" s="1136"/>
      <c r="HX35" s="1136"/>
      <c r="HY35" s="1136"/>
      <c r="HZ35" s="1136"/>
      <c r="IA35" s="1136"/>
      <c r="IB35" s="1136"/>
      <c r="IC35" s="1136"/>
      <c r="ID35" s="1136"/>
      <c r="IE35" s="1136"/>
      <c r="IF35" s="1136"/>
      <c r="IG35" s="1136"/>
      <c r="IH35" s="1136"/>
      <c r="II35" s="1136"/>
      <c r="IJ35" s="1136"/>
      <c r="IK35" s="1136"/>
      <c r="IL35" s="1136"/>
      <c r="IM35" s="1136"/>
      <c r="IN35" s="1136"/>
      <c r="IO35" s="1136"/>
      <c r="IP35" s="1136"/>
      <c r="IQ35" s="1136"/>
      <c r="IR35" s="1136"/>
      <c r="IS35" s="1136"/>
      <c r="IT35" s="1136"/>
      <c r="IU35" s="1136"/>
      <c r="IV35" s="1136"/>
    </row>
    <row r="36" spans="1:256">
      <c r="A36" s="1139" t="s">
        <v>872</v>
      </c>
      <c r="B36" s="1138"/>
      <c r="C36" s="1136"/>
      <c r="D36" s="1138"/>
      <c r="E36" s="2462" t="s">
        <v>347</v>
      </c>
      <c r="F36" s="2462"/>
      <c r="G36" s="1138"/>
      <c r="H36" s="1138"/>
      <c r="I36" s="1138"/>
      <c r="J36" s="1136"/>
      <c r="K36" s="1136"/>
      <c r="L36" s="1136"/>
      <c r="M36" s="1136"/>
      <c r="N36" s="1136"/>
      <c r="O36" s="1136"/>
      <c r="P36" s="1136"/>
      <c r="Q36" s="1136"/>
      <c r="R36" s="1136"/>
      <c r="S36" s="1136"/>
      <c r="T36" s="1136"/>
      <c r="U36" s="1136"/>
      <c r="V36" s="1136"/>
      <c r="W36" s="1136"/>
      <c r="X36" s="1136"/>
      <c r="Y36" s="1136"/>
      <c r="Z36" s="1136"/>
      <c r="AA36" s="1136"/>
      <c r="AB36" s="1136"/>
      <c r="AC36" s="1136"/>
      <c r="AD36" s="1136"/>
      <c r="AE36" s="1136"/>
      <c r="AF36" s="1136"/>
      <c r="AG36" s="1136"/>
      <c r="AH36" s="1136"/>
      <c r="AI36" s="1136"/>
      <c r="AJ36" s="1136"/>
      <c r="AK36" s="1136"/>
      <c r="AL36" s="1136"/>
      <c r="AM36" s="1136"/>
      <c r="AN36" s="1136"/>
      <c r="AO36" s="1136"/>
      <c r="AP36" s="1136"/>
      <c r="AQ36" s="1136"/>
      <c r="AR36" s="1136"/>
      <c r="AS36" s="1136"/>
      <c r="AT36" s="1136"/>
      <c r="AU36" s="1136"/>
      <c r="AV36" s="1136"/>
      <c r="AW36" s="1136"/>
      <c r="AX36" s="1136"/>
      <c r="AY36" s="1136"/>
      <c r="AZ36" s="1136"/>
      <c r="BA36" s="1136"/>
      <c r="BB36" s="1136"/>
      <c r="BC36" s="1136"/>
      <c r="BD36" s="1136"/>
      <c r="BE36" s="1136"/>
      <c r="BF36" s="1136"/>
      <c r="BG36" s="1136"/>
      <c r="BH36" s="1136"/>
      <c r="BI36" s="1136"/>
      <c r="BJ36" s="1136"/>
      <c r="BK36" s="1136"/>
      <c r="BL36" s="1136"/>
      <c r="BM36" s="1136"/>
      <c r="BN36" s="1136"/>
      <c r="BO36" s="1136"/>
      <c r="BP36" s="1136"/>
      <c r="BQ36" s="1136"/>
      <c r="BR36" s="1136"/>
      <c r="BS36" s="1136"/>
      <c r="BT36" s="1136"/>
      <c r="BU36" s="1136"/>
      <c r="BV36" s="1136"/>
      <c r="BW36" s="1136"/>
      <c r="BX36" s="1136"/>
      <c r="BY36" s="1136"/>
      <c r="BZ36" s="1136"/>
      <c r="CA36" s="1136"/>
      <c r="CB36" s="1136"/>
      <c r="CC36" s="1136"/>
      <c r="CD36" s="1136"/>
      <c r="CE36" s="1136"/>
      <c r="CF36" s="1136"/>
      <c r="CG36" s="1136"/>
      <c r="CH36" s="1136"/>
      <c r="CI36" s="1136"/>
      <c r="CJ36" s="1136"/>
      <c r="CK36" s="1136"/>
      <c r="CL36" s="1136"/>
      <c r="CM36" s="1136"/>
      <c r="CN36" s="1136"/>
      <c r="CO36" s="1136"/>
      <c r="CP36" s="1136"/>
      <c r="CQ36" s="1136"/>
      <c r="CR36" s="1136"/>
      <c r="CS36" s="1136"/>
      <c r="CT36" s="1136"/>
      <c r="CU36" s="1136"/>
      <c r="CV36" s="1136"/>
      <c r="CW36" s="1136"/>
      <c r="CX36" s="1136"/>
      <c r="CY36" s="1136"/>
      <c r="CZ36" s="1136"/>
      <c r="DA36" s="1136"/>
      <c r="DB36" s="1136"/>
      <c r="DC36" s="1136"/>
      <c r="DD36" s="1136"/>
      <c r="DE36" s="1136"/>
      <c r="DF36" s="1136"/>
      <c r="DG36" s="1136"/>
      <c r="DH36" s="1136"/>
      <c r="DI36" s="1136"/>
      <c r="DJ36" s="1136"/>
      <c r="DK36" s="1136"/>
      <c r="DL36" s="1136"/>
      <c r="DM36" s="1136"/>
      <c r="DN36" s="1136"/>
      <c r="DO36" s="1136"/>
      <c r="DP36" s="1136"/>
      <c r="DQ36" s="1136"/>
      <c r="DR36" s="1136"/>
      <c r="DS36" s="1136"/>
      <c r="DT36" s="1136"/>
      <c r="DU36" s="1136"/>
      <c r="DV36" s="1136"/>
      <c r="DW36" s="1136"/>
      <c r="DX36" s="1136"/>
      <c r="DY36" s="1136"/>
      <c r="DZ36" s="1136"/>
      <c r="EA36" s="1136"/>
      <c r="EB36" s="1136"/>
      <c r="EC36" s="1136"/>
      <c r="ED36" s="1136"/>
      <c r="EE36" s="1136"/>
      <c r="EF36" s="1136"/>
      <c r="EG36" s="1136"/>
      <c r="EH36" s="1136"/>
      <c r="EI36" s="1136"/>
      <c r="EJ36" s="1136"/>
      <c r="EK36" s="1136"/>
      <c r="EL36" s="1136"/>
      <c r="EM36" s="1136"/>
      <c r="EN36" s="1136"/>
      <c r="EO36" s="1136"/>
      <c r="EP36" s="1136"/>
      <c r="EQ36" s="1136"/>
      <c r="ER36" s="1136"/>
      <c r="ES36" s="1136"/>
      <c r="ET36" s="1136"/>
      <c r="EU36" s="1136"/>
      <c r="EV36" s="1136"/>
      <c r="EW36" s="1136"/>
      <c r="EX36" s="1136"/>
      <c r="EY36" s="1136"/>
      <c r="EZ36" s="1136"/>
      <c r="FA36" s="1136"/>
      <c r="FB36" s="1136"/>
      <c r="FC36" s="1136"/>
      <c r="FD36" s="1136"/>
      <c r="FE36" s="1136"/>
      <c r="FF36" s="1136"/>
      <c r="FG36" s="1136"/>
      <c r="FH36" s="1136"/>
      <c r="FI36" s="1136"/>
      <c r="FJ36" s="1136"/>
      <c r="FK36" s="1136"/>
      <c r="FL36" s="1136"/>
      <c r="FM36" s="1136"/>
      <c r="FN36" s="1136"/>
      <c r="FO36" s="1136"/>
      <c r="FP36" s="1136"/>
      <c r="FQ36" s="1136"/>
      <c r="FR36" s="1136"/>
      <c r="FS36" s="1136"/>
      <c r="FT36" s="1136"/>
      <c r="FU36" s="1136"/>
      <c r="FV36" s="1136"/>
      <c r="FW36" s="1136"/>
      <c r="FX36" s="1136"/>
      <c r="FY36" s="1136"/>
      <c r="FZ36" s="1136"/>
      <c r="GA36" s="1136"/>
      <c r="GB36" s="1136"/>
      <c r="GC36" s="1136"/>
      <c r="GD36" s="1136"/>
      <c r="GE36" s="1136"/>
      <c r="GF36" s="1136"/>
      <c r="GG36" s="1136"/>
      <c r="GH36" s="1136"/>
      <c r="GI36" s="1136"/>
      <c r="GJ36" s="1136"/>
      <c r="GK36" s="1136"/>
      <c r="GL36" s="1136"/>
      <c r="GM36" s="1136"/>
      <c r="GN36" s="1136"/>
      <c r="GO36" s="1136"/>
      <c r="GP36" s="1136"/>
      <c r="GQ36" s="1136"/>
      <c r="GR36" s="1136"/>
      <c r="GS36" s="1136"/>
      <c r="GT36" s="1136"/>
      <c r="GU36" s="1136"/>
      <c r="GV36" s="1136"/>
      <c r="GW36" s="1136"/>
      <c r="GX36" s="1136"/>
      <c r="GY36" s="1136"/>
      <c r="GZ36" s="1136"/>
      <c r="HA36" s="1136"/>
      <c r="HB36" s="1136"/>
      <c r="HC36" s="1136"/>
      <c r="HD36" s="1136"/>
      <c r="HE36" s="1136"/>
      <c r="HF36" s="1136"/>
      <c r="HG36" s="1136"/>
      <c r="HH36" s="1136"/>
      <c r="HI36" s="1136"/>
      <c r="HJ36" s="1136"/>
      <c r="HK36" s="1136"/>
      <c r="HL36" s="1136"/>
      <c r="HM36" s="1136"/>
      <c r="HN36" s="1136"/>
      <c r="HO36" s="1136"/>
      <c r="HP36" s="1136"/>
      <c r="HQ36" s="1136"/>
      <c r="HR36" s="1136"/>
      <c r="HS36" s="1136"/>
      <c r="HT36" s="1136"/>
      <c r="HU36" s="1136"/>
      <c r="HV36" s="1136"/>
      <c r="HW36" s="1136"/>
      <c r="HX36" s="1136"/>
      <c r="HY36" s="1136"/>
      <c r="HZ36" s="1136"/>
      <c r="IA36" s="1136"/>
      <c r="IB36" s="1136"/>
      <c r="IC36" s="1136"/>
      <c r="ID36" s="1136"/>
      <c r="IE36" s="1136"/>
      <c r="IF36" s="1136"/>
      <c r="IG36" s="1136"/>
      <c r="IH36" s="1136"/>
      <c r="II36" s="1136"/>
      <c r="IJ36" s="1136"/>
      <c r="IK36" s="1136"/>
      <c r="IL36" s="1136"/>
      <c r="IM36" s="1136"/>
      <c r="IN36" s="1136"/>
      <c r="IO36" s="1136"/>
      <c r="IP36" s="1136"/>
      <c r="IQ36" s="1136"/>
      <c r="IR36" s="1136"/>
      <c r="IS36" s="1136"/>
      <c r="IT36" s="1136"/>
      <c r="IU36" s="1136"/>
      <c r="IV36" s="1136"/>
    </row>
    <row r="37" spans="1:256">
      <c r="A37" s="1140">
        <f>+A34+1</f>
        <v>20</v>
      </c>
      <c r="B37" s="1142" t="s">
        <v>1092</v>
      </c>
      <c r="C37" s="1142"/>
      <c r="D37" s="1142"/>
      <c r="E37" s="1142" t="s">
        <v>526</v>
      </c>
      <c r="F37" s="1138"/>
      <c r="G37" s="1136"/>
      <c r="H37" s="964">
        <v>0</v>
      </c>
      <c r="I37" s="1138"/>
      <c r="J37" s="1136"/>
      <c r="K37" s="1136"/>
      <c r="L37" s="1136"/>
      <c r="M37" s="1136"/>
      <c r="N37" s="1136"/>
      <c r="O37" s="1136"/>
      <c r="P37" s="1136"/>
      <c r="Q37" s="1136"/>
      <c r="R37" s="1136"/>
      <c r="S37" s="1136"/>
      <c r="T37" s="1136"/>
      <c r="U37" s="1136"/>
      <c r="V37" s="1136"/>
      <c r="W37" s="1136"/>
      <c r="X37" s="1136"/>
      <c r="Y37" s="1136"/>
      <c r="Z37" s="1136"/>
      <c r="AA37" s="1136"/>
      <c r="AB37" s="1136"/>
      <c r="AC37" s="1136"/>
      <c r="AD37" s="1136"/>
      <c r="AE37" s="1136"/>
      <c r="AF37" s="1136"/>
      <c r="AG37" s="1136"/>
      <c r="AH37" s="1136"/>
      <c r="AI37" s="1136"/>
      <c r="AJ37" s="1136"/>
      <c r="AK37" s="1136"/>
      <c r="AL37" s="1136"/>
      <c r="AM37" s="1136"/>
      <c r="AN37" s="1136"/>
      <c r="AO37" s="1136"/>
      <c r="AP37" s="1136"/>
      <c r="AQ37" s="1136"/>
      <c r="AR37" s="1136"/>
      <c r="AS37" s="1136"/>
      <c r="AT37" s="1136"/>
      <c r="AU37" s="1136"/>
      <c r="AV37" s="1136"/>
      <c r="AW37" s="1136"/>
      <c r="AX37" s="1136"/>
      <c r="AY37" s="1136"/>
      <c r="AZ37" s="1136"/>
      <c r="BA37" s="1136"/>
      <c r="BB37" s="1136"/>
      <c r="BC37" s="1136"/>
      <c r="BD37" s="1136"/>
      <c r="BE37" s="1136"/>
      <c r="BF37" s="1136"/>
      <c r="BG37" s="1136"/>
      <c r="BH37" s="1136"/>
      <c r="BI37" s="1136"/>
      <c r="BJ37" s="1136"/>
      <c r="BK37" s="1136"/>
      <c r="BL37" s="1136"/>
      <c r="BM37" s="1136"/>
      <c r="BN37" s="1136"/>
      <c r="BO37" s="1136"/>
      <c r="BP37" s="1136"/>
      <c r="BQ37" s="1136"/>
      <c r="BR37" s="1136"/>
      <c r="BS37" s="1136"/>
      <c r="BT37" s="1136"/>
      <c r="BU37" s="1136"/>
      <c r="BV37" s="1136"/>
      <c r="BW37" s="1136"/>
      <c r="BX37" s="1136"/>
      <c r="BY37" s="1136"/>
      <c r="BZ37" s="1136"/>
      <c r="CA37" s="1136"/>
      <c r="CB37" s="1136"/>
      <c r="CC37" s="1136"/>
      <c r="CD37" s="1136"/>
      <c r="CE37" s="1136"/>
      <c r="CF37" s="1136"/>
      <c r="CG37" s="1136"/>
      <c r="CH37" s="1136"/>
      <c r="CI37" s="1136"/>
      <c r="CJ37" s="1136"/>
      <c r="CK37" s="1136"/>
      <c r="CL37" s="1136"/>
      <c r="CM37" s="1136"/>
      <c r="CN37" s="1136"/>
      <c r="CO37" s="1136"/>
      <c r="CP37" s="1136"/>
      <c r="CQ37" s="1136"/>
      <c r="CR37" s="1136"/>
      <c r="CS37" s="1136"/>
      <c r="CT37" s="1136"/>
      <c r="CU37" s="1136"/>
      <c r="CV37" s="1136"/>
      <c r="CW37" s="1136"/>
      <c r="CX37" s="1136"/>
      <c r="CY37" s="1136"/>
      <c r="CZ37" s="1136"/>
      <c r="DA37" s="1136"/>
      <c r="DB37" s="1136"/>
      <c r="DC37" s="1136"/>
      <c r="DD37" s="1136"/>
      <c r="DE37" s="1136"/>
      <c r="DF37" s="1136"/>
      <c r="DG37" s="1136"/>
      <c r="DH37" s="1136"/>
      <c r="DI37" s="1136"/>
      <c r="DJ37" s="1136"/>
      <c r="DK37" s="1136"/>
      <c r="DL37" s="1136"/>
      <c r="DM37" s="1136"/>
      <c r="DN37" s="1136"/>
      <c r="DO37" s="1136"/>
      <c r="DP37" s="1136"/>
      <c r="DQ37" s="1136"/>
      <c r="DR37" s="1136"/>
      <c r="DS37" s="1136"/>
      <c r="DT37" s="1136"/>
      <c r="DU37" s="1136"/>
      <c r="DV37" s="1136"/>
      <c r="DW37" s="1136"/>
      <c r="DX37" s="1136"/>
      <c r="DY37" s="1136"/>
      <c r="DZ37" s="1136"/>
      <c r="EA37" s="1136"/>
      <c r="EB37" s="1136"/>
      <c r="EC37" s="1136"/>
      <c r="ED37" s="1136"/>
      <c r="EE37" s="1136"/>
      <c r="EF37" s="1136"/>
      <c r="EG37" s="1136"/>
      <c r="EH37" s="1136"/>
      <c r="EI37" s="1136"/>
      <c r="EJ37" s="1136"/>
      <c r="EK37" s="1136"/>
      <c r="EL37" s="1136"/>
      <c r="EM37" s="1136"/>
      <c r="EN37" s="1136"/>
      <c r="EO37" s="1136"/>
      <c r="EP37" s="1136"/>
      <c r="EQ37" s="1136"/>
      <c r="ER37" s="1136"/>
      <c r="ES37" s="1136"/>
      <c r="ET37" s="1136"/>
      <c r="EU37" s="1136"/>
      <c r="EV37" s="1136"/>
      <c r="EW37" s="1136"/>
      <c r="EX37" s="1136"/>
      <c r="EY37" s="1136"/>
      <c r="EZ37" s="1136"/>
      <c r="FA37" s="1136"/>
      <c r="FB37" s="1136"/>
      <c r="FC37" s="1136"/>
      <c r="FD37" s="1136"/>
      <c r="FE37" s="1136"/>
      <c r="FF37" s="1136"/>
      <c r="FG37" s="1136"/>
      <c r="FH37" s="1136"/>
      <c r="FI37" s="1136"/>
      <c r="FJ37" s="1136"/>
      <c r="FK37" s="1136"/>
      <c r="FL37" s="1136"/>
      <c r="FM37" s="1136"/>
      <c r="FN37" s="1136"/>
      <c r="FO37" s="1136"/>
      <c r="FP37" s="1136"/>
      <c r="FQ37" s="1136"/>
      <c r="FR37" s="1136"/>
      <c r="FS37" s="1136"/>
      <c r="FT37" s="1136"/>
      <c r="FU37" s="1136"/>
      <c r="FV37" s="1136"/>
      <c r="FW37" s="1136"/>
      <c r="FX37" s="1136"/>
      <c r="FY37" s="1136"/>
      <c r="FZ37" s="1136"/>
      <c r="GA37" s="1136"/>
      <c r="GB37" s="1136"/>
      <c r="GC37" s="1136"/>
      <c r="GD37" s="1136"/>
      <c r="GE37" s="1136"/>
      <c r="GF37" s="1136"/>
      <c r="GG37" s="1136"/>
      <c r="GH37" s="1136"/>
      <c r="GI37" s="1136"/>
      <c r="GJ37" s="1136"/>
      <c r="GK37" s="1136"/>
      <c r="GL37" s="1136"/>
      <c r="GM37" s="1136"/>
      <c r="GN37" s="1136"/>
      <c r="GO37" s="1136"/>
      <c r="GP37" s="1136"/>
      <c r="GQ37" s="1136"/>
      <c r="GR37" s="1136"/>
      <c r="GS37" s="1136"/>
      <c r="GT37" s="1136"/>
      <c r="GU37" s="1136"/>
      <c r="GV37" s="1136"/>
      <c r="GW37" s="1136"/>
      <c r="GX37" s="1136"/>
      <c r="GY37" s="1136"/>
      <c r="GZ37" s="1136"/>
      <c r="HA37" s="1136"/>
      <c r="HB37" s="1136"/>
      <c r="HC37" s="1136"/>
      <c r="HD37" s="1136"/>
      <c r="HE37" s="1136"/>
      <c r="HF37" s="1136"/>
      <c r="HG37" s="1136"/>
      <c r="HH37" s="1136"/>
      <c r="HI37" s="1136"/>
      <c r="HJ37" s="1136"/>
      <c r="HK37" s="1136"/>
      <c r="HL37" s="1136"/>
      <c r="HM37" s="1136"/>
      <c r="HN37" s="1136"/>
      <c r="HO37" s="1136"/>
      <c r="HP37" s="1136"/>
      <c r="HQ37" s="1136"/>
      <c r="HR37" s="1136"/>
      <c r="HS37" s="1136"/>
      <c r="HT37" s="1136"/>
      <c r="HU37" s="1136"/>
      <c r="HV37" s="1136"/>
      <c r="HW37" s="1136"/>
      <c r="HX37" s="1136"/>
      <c r="HY37" s="1136"/>
      <c r="HZ37" s="1136"/>
      <c r="IA37" s="1136"/>
      <c r="IB37" s="1136"/>
      <c r="IC37" s="1136"/>
      <c r="ID37" s="1136"/>
      <c r="IE37" s="1136"/>
      <c r="IF37" s="1136"/>
      <c r="IG37" s="1136"/>
      <c r="IH37" s="1136"/>
      <c r="II37" s="1136"/>
      <c r="IJ37" s="1136"/>
      <c r="IK37" s="1136"/>
      <c r="IL37" s="1136"/>
      <c r="IM37" s="1136"/>
      <c r="IN37" s="1136"/>
      <c r="IO37" s="1136"/>
      <c r="IP37" s="1136"/>
      <c r="IQ37" s="1136"/>
      <c r="IR37" s="1136"/>
      <c r="IS37" s="1136"/>
      <c r="IT37" s="1136"/>
      <c r="IU37" s="1136"/>
      <c r="IV37" s="1136"/>
    </row>
    <row r="38" spans="1:256">
      <c r="A38" s="1140">
        <f>+A37+1</f>
        <v>21</v>
      </c>
      <c r="B38" s="1142" t="s">
        <v>1093</v>
      </c>
      <c r="C38" s="1142"/>
      <c r="D38" s="1142"/>
      <c r="E38" s="1142" t="s">
        <v>527</v>
      </c>
      <c r="F38" s="1138"/>
      <c r="G38" s="1136"/>
      <c r="H38" s="964">
        <v>0</v>
      </c>
      <c r="I38" s="1138"/>
      <c r="J38" s="1136"/>
      <c r="K38" s="1136"/>
      <c r="L38" s="1136"/>
      <c r="M38" s="1136"/>
      <c r="N38" s="1136"/>
      <c r="O38" s="1136"/>
      <c r="P38" s="1136"/>
      <c r="Q38" s="1136"/>
      <c r="R38" s="1136"/>
      <c r="S38" s="1136"/>
      <c r="T38" s="1136"/>
      <c r="U38" s="1136"/>
      <c r="V38" s="1136"/>
      <c r="W38" s="1136"/>
      <c r="X38" s="1136"/>
      <c r="Y38" s="1136"/>
      <c r="Z38" s="1136"/>
      <c r="AA38" s="1136"/>
      <c r="AB38" s="1136"/>
      <c r="AC38" s="1136"/>
      <c r="AD38" s="1136"/>
      <c r="AE38" s="1136"/>
      <c r="AF38" s="1136"/>
      <c r="AG38" s="1136"/>
      <c r="AH38" s="1136"/>
      <c r="AI38" s="1136"/>
      <c r="AJ38" s="1136"/>
      <c r="AK38" s="1136"/>
      <c r="AL38" s="1136"/>
      <c r="AM38" s="1136"/>
      <c r="AN38" s="1136"/>
      <c r="AO38" s="1136"/>
      <c r="AP38" s="1136"/>
      <c r="AQ38" s="1136"/>
      <c r="AR38" s="1136"/>
      <c r="AS38" s="1136"/>
      <c r="AT38" s="1136"/>
      <c r="AU38" s="1136"/>
      <c r="AV38" s="1136"/>
      <c r="AW38" s="1136"/>
      <c r="AX38" s="1136"/>
      <c r="AY38" s="1136"/>
      <c r="AZ38" s="1136"/>
      <c r="BA38" s="1136"/>
      <c r="BB38" s="1136"/>
      <c r="BC38" s="1136"/>
      <c r="BD38" s="1136"/>
      <c r="BE38" s="1136"/>
      <c r="BF38" s="1136"/>
      <c r="BG38" s="1136"/>
      <c r="BH38" s="1136"/>
      <c r="BI38" s="1136"/>
      <c r="BJ38" s="1136"/>
      <c r="BK38" s="1136"/>
      <c r="BL38" s="1136"/>
      <c r="BM38" s="1136"/>
      <c r="BN38" s="1136"/>
      <c r="BO38" s="1136"/>
      <c r="BP38" s="1136"/>
      <c r="BQ38" s="1136"/>
      <c r="BR38" s="1136"/>
      <c r="BS38" s="1136"/>
      <c r="BT38" s="1136"/>
      <c r="BU38" s="1136"/>
      <c r="BV38" s="1136"/>
      <c r="BW38" s="1136"/>
      <c r="BX38" s="1136"/>
      <c r="BY38" s="1136"/>
      <c r="BZ38" s="1136"/>
      <c r="CA38" s="1136"/>
      <c r="CB38" s="1136"/>
      <c r="CC38" s="1136"/>
      <c r="CD38" s="1136"/>
      <c r="CE38" s="1136"/>
      <c r="CF38" s="1136"/>
      <c r="CG38" s="1136"/>
      <c r="CH38" s="1136"/>
      <c r="CI38" s="1136"/>
      <c r="CJ38" s="1136"/>
      <c r="CK38" s="1136"/>
      <c r="CL38" s="1136"/>
      <c r="CM38" s="1136"/>
      <c r="CN38" s="1136"/>
      <c r="CO38" s="1136"/>
      <c r="CP38" s="1136"/>
      <c r="CQ38" s="1136"/>
      <c r="CR38" s="1136"/>
      <c r="CS38" s="1136"/>
      <c r="CT38" s="1136"/>
      <c r="CU38" s="1136"/>
      <c r="CV38" s="1136"/>
      <c r="CW38" s="1136"/>
      <c r="CX38" s="1136"/>
      <c r="CY38" s="1136"/>
      <c r="CZ38" s="1136"/>
      <c r="DA38" s="1136"/>
      <c r="DB38" s="1136"/>
      <c r="DC38" s="1136"/>
      <c r="DD38" s="1136"/>
      <c r="DE38" s="1136"/>
      <c r="DF38" s="1136"/>
      <c r="DG38" s="1136"/>
      <c r="DH38" s="1136"/>
      <c r="DI38" s="1136"/>
      <c r="DJ38" s="1136"/>
      <c r="DK38" s="1136"/>
      <c r="DL38" s="1136"/>
      <c r="DM38" s="1136"/>
      <c r="DN38" s="1136"/>
      <c r="DO38" s="1136"/>
      <c r="DP38" s="1136"/>
      <c r="DQ38" s="1136"/>
      <c r="DR38" s="1136"/>
      <c r="DS38" s="1136"/>
      <c r="DT38" s="1136"/>
      <c r="DU38" s="1136"/>
      <c r="DV38" s="1136"/>
      <c r="DW38" s="1136"/>
      <c r="DX38" s="1136"/>
      <c r="DY38" s="1136"/>
      <c r="DZ38" s="1136"/>
      <c r="EA38" s="1136"/>
      <c r="EB38" s="1136"/>
      <c r="EC38" s="1136"/>
      <c r="ED38" s="1136"/>
      <c r="EE38" s="1136"/>
      <c r="EF38" s="1136"/>
      <c r="EG38" s="1136"/>
      <c r="EH38" s="1136"/>
      <c r="EI38" s="1136"/>
      <c r="EJ38" s="1136"/>
      <c r="EK38" s="1136"/>
      <c r="EL38" s="1136"/>
      <c r="EM38" s="1136"/>
      <c r="EN38" s="1136"/>
      <c r="EO38" s="1136"/>
      <c r="EP38" s="1136"/>
      <c r="EQ38" s="1136"/>
      <c r="ER38" s="1136"/>
      <c r="ES38" s="1136"/>
      <c r="ET38" s="1136"/>
      <c r="EU38" s="1136"/>
      <c r="EV38" s="1136"/>
      <c r="EW38" s="1136"/>
      <c r="EX38" s="1136"/>
      <c r="EY38" s="1136"/>
      <c r="EZ38" s="1136"/>
      <c r="FA38" s="1136"/>
      <c r="FB38" s="1136"/>
      <c r="FC38" s="1136"/>
      <c r="FD38" s="1136"/>
      <c r="FE38" s="1136"/>
      <c r="FF38" s="1136"/>
      <c r="FG38" s="1136"/>
      <c r="FH38" s="1136"/>
      <c r="FI38" s="1136"/>
      <c r="FJ38" s="1136"/>
      <c r="FK38" s="1136"/>
      <c r="FL38" s="1136"/>
      <c r="FM38" s="1136"/>
      <c r="FN38" s="1136"/>
      <c r="FO38" s="1136"/>
      <c r="FP38" s="1136"/>
      <c r="FQ38" s="1136"/>
      <c r="FR38" s="1136"/>
      <c r="FS38" s="1136"/>
      <c r="FT38" s="1136"/>
      <c r="FU38" s="1136"/>
      <c r="FV38" s="1136"/>
      <c r="FW38" s="1136"/>
      <c r="FX38" s="1136"/>
      <c r="FY38" s="1136"/>
      <c r="FZ38" s="1136"/>
      <c r="GA38" s="1136"/>
      <c r="GB38" s="1136"/>
      <c r="GC38" s="1136"/>
      <c r="GD38" s="1136"/>
      <c r="GE38" s="1136"/>
      <c r="GF38" s="1136"/>
      <c r="GG38" s="1136"/>
      <c r="GH38" s="1136"/>
      <c r="GI38" s="1136"/>
      <c r="GJ38" s="1136"/>
      <c r="GK38" s="1136"/>
      <c r="GL38" s="1136"/>
      <c r="GM38" s="1136"/>
      <c r="GN38" s="1136"/>
      <c r="GO38" s="1136"/>
      <c r="GP38" s="1136"/>
      <c r="GQ38" s="1136"/>
      <c r="GR38" s="1136"/>
      <c r="GS38" s="1136"/>
      <c r="GT38" s="1136"/>
      <c r="GU38" s="1136"/>
      <c r="GV38" s="1136"/>
      <c r="GW38" s="1136"/>
      <c r="GX38" s="1136"/>
      <c r="GY38" s="1136"/>
      <c r="GZ38" s="1136"/>
      <c r="HA38" s="1136"/>
      <c r="HB38" s="1136"/>
      <c r="HC38" s="1136"/>
      <c r="HD38" s="1136"/>
      <c r="HE38" s="1136"/>
      <c r="HF38" s="1136"/>
      <c r="HG38" s="1136"/>
      <c r="HH38" s="1136"/>
      <c r="HI38" s="1136"/>
      <c r="HJ38" s="1136"/>
      <c r="HK38" s="1136"/>
      <c r="HL38" s="1136"/>
      <c r="HM38" s="1136"/>
      <c r="HN38" s="1136"/>
      <c r="HO38" s="1136"/>
      <c r="HP38" s="1136"/>
      <c r="HQ38" s="1136"/>
      <c r="HR38" s="1136"/>
      <c r="HS38" s="1136"/>
      <c r="HT38" s="1136"/>
      <c r="HU38" s="1136"/>
      <c r="HV38" s="1136"/>
      <c r="HW38" s="1136"/>
      <c r="HX38" s="1136"/>
      <c r="HY38" s="1136"/>
      <c r="HZ38" s="1136"/>
      <c r="IA38" s="1136"/>
      <c r="IB38" s="1136"/>
      <c r="IC38" s="1136"/>
      <c r="ID38" s="1136"/>
      <c r="IE38" s="1136"/>
      <c r="IF38" s="1136"/>
      <c r="IG38" s="1136"/>
      <c r="IH38" s="1136"/>
      <c r="II38" s="1136"/>
      <c r="IJ38" s="1136"/>
      <c r="IK38" s="1136"/>
      <c r="IL38" s="1136"/>
      <c r="IM38" s="1136"/>
      <c r="IN38" s="1136"/>
      <c r="IO38" s="1136"/>
      <c r="IP38" s="1136"/>
      <c r="IQ38" s="1136"/>
      <c r="IR38" s="1136"/>
      <c r="IS38" s="1136"/>
      <c r="IT38" s="1136"/>
      <c r="IU38" s="1136"/>
      <c r="IV38" s="1136"/>
    </row>
    <row r="39" spans="1:256">
      <c r="A39" s="1140">
        <f>+A38+1</f>
        <v>22</v>
      </c>
      <c r="B39" s="1142" t="s">
        <v>510</v>
      </c>
      <c r="C39" s="1142"/>
      <c r="D39" s="1142"/>
      <c r="E39" s="1142" t="str">
        <f>"Line "&amp;A37&amp;" less Line "&amp;A38</f>
        <v>Line 20 less Line 21</v>
      </c>
      <c r="F39" s="1138"/>
      <c r="G39" s="1136"/>
      <c r="H39" s="1143">
        <f>+H37-H38</f>
        <v>0</v>
      </c>
      <c r="I39" s="1138"/>
      <c r="J39" s="1136"/>
      <c r="K39" s="1136"/>
      <c r="L39" s="1136"/>
      <c r="M39" s="1136"/>
      <c r="N39" s="1136"/>
      <c r="O39" s="1136"/>
      <c r="P39" s="1136"/>
      <c r="Q39" s="1136"/>
      <c r="R39" s="1136"/>
      <c r="S39" s="1136"/>
      <c r="T39" s="1136"/>
      <c r="U39" s="1136"/>
      <c r="V39" s="1136"/>
      <c r="W39" s="1136"/>
      <c r="X39" s="1136"/>
      <c r="Y39" s="1136"/>
      <c r="Z39" s="1136"/>
      <c r="AA39" s="1136"/>
      <c r="AB39" s="1136"/>
      <c r="AC39" s="1136"/>
      <c r="AD39" s="1136"/>
      <c r="AE39" s="1136"/>
      <c r="AF39" s="1136"/>
      <c r="AG39" s="1136"/>
      <c r="AH39" s="1136"/>
      <c r="AI39" s="1136"/>
      <c r="AJ39" s="1136"/>
      <c r="AK39" s="1136"/>
      <c r="AL39" s="1136"/>
      <c r="AM39" s="1136"/>
      <c r="AN39" s="1136"/>
      <c r="AO39" s="1136"/>
      <c r="AP39" s="1136"/>
      <c r="AQ39" s="1136"/>
      <c r="AR39" s="1136"/>
      <c r="AS39" s="1136"/>
      <c r="AT39" s="1136"/>
      <c r="AU39" s="1136"/>
      <c r="AV39" s="1136"/>
      <c r="AW39" s="1136"/>
      <c r="AX39" s="1136"/>
      <c r="AY39" s="1136"/>
      <c r="AZ39" s="1136"/>
      <c r="BA39" s="1136"/>
      <c r="BB39" s="1136"/>
      <c r="BC39" s="1136"/>
      <c r="BD39" s="1136"/>
      <c r="BE39" s="1136"/>
      <c r="BF39" s="1136"/>
      <c r="BG39" s="1136"/>
      <c r="BH39" s="1136"/>
      <c r="BI39" s="1136"/>
      <c r="BJ39" s="1136"/>
      <c r="BK39" s="1136"/>
      <c r="BL39" s="1136"/>
      <c r="BM39" s="1136"/>
      <c r="BN39" s="1136"/>
      <c r="BO39" s="1136"/>
      <c r="BP39" s="1136"/>
      <c r="BQ39" s="1136"/>
      <c r="BR39" s="1136"/>
      <c r="BS39" s="1136"/>
      <c r="BT39" s="1136"/>
      <c r="BU39" s="1136"/>
      <c r="BV39" s="1136"/>
      <c r="BW39" s="1136"/>
      <c r="BX39" s="1136"/>
      <c r="BY39" s="1136"/>
      <c r="BZ39" s="1136"/>
      <c r="CA39" s="1136"/>
      <c r="CB39" s="1136"/>
      <c r="CC39" s="1136"/>
      <c r="CD39" s="1136"/>
      <c r="CE39" s="1136"/>
      <c r="CF39" s="1136"/>
      <c r="CG39" s="1136"/>
      <c r="CH39" s="1136"/>
      <c r="CI39" s="1136"/>
      <c r="CJ39" s="1136"/>
      <c r="CK39" s="1136"/>
      <c r="CL39" s="1136"/>
      <c r="CM39" s="1136"/>
      <c r="CN39" s="1136"/>
      <c r="CO39" s="1136"/>
      <c r="CP39" s="1136"/>
      <c r="CQ39" s="1136"/>
      <c r="CR39" s="1136"/>
      <c r="CS39" s="1136"/>
      <c r="CT39" s="1136"/>
      <c r="CU39" s="1136"/>
      <c r="CV39" s="1136"/>
      <c r="CW39" s="1136"/>
      <c r="CX39" s="1136"/>
      <c r="CY39" s="1136"/>
      <c r="CZ39" s="1136"/>
      <c r="DA39" s="1136"/>
      <c r="DB39" s="1136"/>
      <c r="DC39" s="1136"/>
      <c r="DD39" s="1136"/>
      <c r="DE39" s="1136"/>
      <c r="DF39" s="1136"/>
      <c r="DG39" s="1136"/>
      <c r="DH39" s="1136"/>
      <c r="DI39" s="1136"/>
      <c r="DJ39" s="1136"/>
      <c r="DK39" s="1136"/>
      <c r="DL39" s="1136"/>
      <c r="DM39" s="1136"/>
      <c r="DN39" s="1136"/>
      <c r="DO39" s="1136"/>
      <c r="DP39" s="1136"/>
      <c r="DQ39" s="1136"/>
      <c r="DR39" s="1136"/>
      <c r="DS39" s="1136"/>
      <c r="DT39" s="1136"/>
      <c r="DU39" s="1136"/>
      <c r="DV39" s="1136"/>
      <c r="DW39" s="1136"/>
      <c r="DX39" s="1136"/>
      <c r="DY39" s="1136"/>
      <c r="DZ39" s="1136"/>
      <c r="EA39" s="1136"/>
      <c r="EB39" s="1136"/>
      <c r="EC39" s="1136"/>
      <c r="ED39" s="1136"/>
      <c r="EE39" s="1136"/>
      <c r="EF39" s="1136"/>
      <c r="EG39" s="1136"/>
      <c r="EH39" s="1136"/>
      <c r="EI39" s="1136"/>
      <c r="EJ39" s="1136"/>
      <c r="EK39" s="1136"/>
      <c r="EL39" s="1136"/>
      <c r="EM39" s="1136"/>
      <c r="EN39" s="1136"/>
      <c r="EO39" s="1136"/>
      <c r="EP39" s="1136"/>
      <c r="EQ39" s="1136"/>
      <c r="ER39" s="1136"/>
      <c r="ES39" s="1136"/>
      <c r="ET39" s="1136"/>
      <c r="EU39" s="1136"/>
      <c r="EV39" s="1136"/>
      <c r="EW39" s="1136"/>
      <c r="EX39" s="1136"/>
      <c r="EY39" s="1136"/>
      <c r="EZ39" s="1136"/>
      <c r="FA39" s="1136"/>
      <c r="FB39" s="1136"/>
      <c r="FC39" s="1136"/>
      <c r="FD39" s="1136"/>
      <c r="FE39" s="1136"/>
      <c r="FF39" s="1136"/>
      <c r="FG39" s="1136"/>
      <c r="FH39" s="1136"/>
      <c r="FI39" s="1136"/>
      <c r="FJ39" s="1136"/>
      <c r="FK39" s="1136"/>
      <c r="FL39" s="1136"/>
      <c r="FM39" s="1136"/>
      <c r="FN39" s="1136"/>
      <c r="FO39" s="1136"/>
      <c r="FP39" s="1136"/>
      <c r="FQ39" s="1136"/>
      <c r="FR39" s="1136"/>
      <c r="FS39" s="1136"/>
      <c r="FT39" s="1136"/>
      <c r="FU39" s="1136"/>
      <c r="FV39" s="1136"/>
      <c r="FW39" s="1136"/>
      <c r="FX39" s="1136"/>
      <c r="FY39" s="1136"/>
      <c r="FZ39" s="1136"/>
      <c r="GA39" s="1136"/>
      <c r="GB39" s="1136"/>
      <c r="GC39" s="1136"/>
      <c r="GD39" s="1136"/>
      <c r="GE39" s="1136"/>
      <c r="GF39" s="1136"/>
      <c r="GG39" s="1136"/>
      <c r="GH39" s="1136"/>
      <c r="GI39" s="1136"/>
      <c r="GJ39" s="1136"/>
      <c r="GK39" s="1136"/>
      <c r="GL39" s="1136"/>
      <c r="GM39" s="1136"/>
      <c r="GN39" s="1136"/>
      <c r="GO39" s="1136"/>
      <c r="GP39" s="1136"/>
      <c r="GQ39" s="1136"/>
      <c r="GR39" s="1136"/>
      <c r="GS39" s="1136"/>
      <c r="GT39" s="1136"/>
      <c r="GU39" s="1136"/>
      <c r="GV39" s="1136"/>
      <c r="GW39" s="1136"/>
      <c r="GX39" s="1136"/>
      <c r="GY39" s="1136"/>
      <c r="GZ39" s="1136"/>
      <c r="HA39" s="1136"/>
      <c r="HB39" s="1136"/>
      <c r="HC39" s="1136"/>
      <c r="HD39" s="1136"/>
      <c r="HE39" s="1136"/>
      <c r="HF39" s="1136"/>
      <c r="HG39" s="1136"/>
      <c r="HH39" s="1136"/>
      <c r="HI39" s="1136"/>
      <c r="HJ39" s="1136"/>
      <c r="HK39" s="1136"/>
      <c r="HL39" s="1136"/>
      <c r="HM39" s="1136"/>
      <c r="HN39" s="1136"/>
      <c r="HO39" s="1136"/>
      <c r="HP39" s="1136"/>
      <c r="HQ39" s="1136"/>
      <c r="HR39" s="1136"/>
      <c r="HS39" s="1136"/>
      <c r="HT39" s="1136"/>
      <c r="HU39" s="1136"/>
      <c r="HV39" s="1136"/>
      <c r="HW39" s="1136"/>
      <c r="HX39" s="1136"/>
      <c r="HY39" s="1136"/>
      <c r="HZ39" s="1136"/>
      <c r="IA39" s="1136"/>
      <c r="IB39" s="1136"/>
      <c r="IC39" s="1136"/>
      <c r="ID39" s="1136"/>
      <c r="IE39" s="1136"/>
      <c r="IF39" s="1136"/>
      <c r="IG39" s="1136"/>
      <c r="IH39" s="1136"/>
      <c r="II39" s="1136"/>
      <c r="IJ39" s="1136"/>
      <c r="IK39" s="1136"/>
      <c r="IL39" s="1136"/>
      <c r="IM39" s="1136"/>
      <c r="IN39" s="1136"/>
      <c r="IO39" s="1136"/>
      <c r="IP39" s="1136"/>
      <c r="IQ39" s="1136"/>
      <c r="IR39" s="1136"/>
      <c r="IS39" s="1136"/>
      <c r="IT39" s="1136"/>
      <c r="IU39" s="1136"/>
      <c r="IV39" s="1136"/>
    </row>
    <row r="40" spans="1:256">
      <c r="A40" s="1140">
        <f>+A39+1</f>
        <v>23</v>
      </c>
      <c r="B40" s="1142" t="s">
        <v>511</v>
      </c>
      <c r="C40" s="1142"/>
      <c r="D40" s="1142"/>
      <c r="E40" s="1142" t="str">
        <f>"Line "&amp;A39&amp;" / 12"</f>
        <v>Line 22 / 12</v>
      </c>
      <c r="F40" s="1138"/>
      <c r="G40" s="1136"/>
      <c r="H40" s="1144">
        <f>+H39/12</f>
        <v>0</v>
      </c>
      <c r="I40" s="1138"/>
      <c r="J40" s="1136"/>
      <c r="K40" s="1136"/>
      <c r="L40" s="1136"/>
      <c r="M40" s="1136"/>
      <c r="N40" s="1136"/>
      <c r="O40" s="1136"/>
      <c r="P40" s="1136"/>
      <c r="Q40" s="1136"/>
      <c r="R40" s="1136"/>
      <c r="S40" s="1136"/>
      <c r="T40" s="1136"/>
      <c r="U40" s="1136"/>
      <c r="V40" s="1136"/>
      <c r="W40" s="1136"/>
      <c r="X40" s="1136"/>
      <c r="Y40" s="1136"/>
      <c r="Z40" s="1136"/>
      <c r="AA40" s="1136"/>
      <c r="AB40" s="1136"/>
      <c r="AC40" s="1136"/>
      <c r="AD40" s="1136"/>
      <c r="AE40" s="1136"/>
      <c r="AF40" s="1136"/>
      <c r="AG40" s="1136"/>
      <c r="AH40" s="1136"/>
      <c r="AI40" s="1136"/>
      <c r="AJ40" s="1136"/>
      <c r="AK40" s="1136"/>
      <c r="AL40" s="1136"/>
      <c r="AM40" s="1136"/>
      <c r="AN40" s="1136"/>
      <c r="AO40" s="1136"/>
      <c r="AP40" s="1136"/>
      <c r="AQ40" s="1136"/>
      <c r="AR40" s="1136"/>
      <c r="AS40" s="1136"/>
      <c r="AT40" s="1136"/>
      <c r="AU40" s="1136"/>
      <c r="AV40" s="1136"/>
      <c r="AW40" s="1136"/>
      <c r="AX40" s="1136"/>
      <c r="AY40" s="1136"/>
      <c r="AZ40" s="1136"/>
      <c r="BA40" s="1136"/>
      <c r="BB40" s="1136"/>
      <c r="BC40" s="1136"/>
      <c r="BD40" s="1136"/>
      <c r="BE40" s="1136"/>
      <c r="BF40" s="1136"/>
      <c r="BG40" s="1136"/>
      <c r="BH40" s="1136"/>
      <c r="BI40" s="1136"/>
      <c r="BJ40" s="1136"/>
      <c r="BK40" s="1136"/>
      <c r="BL40" s="1136"/>
      <c r="BM40" s="1136"/>
      <c r="BN40" s="1136"/>
      <c r="BO40" s="1136"/>
      <c r="BP40" s="1136"/>
      <c r="BQ40" s="1136"/>
      <c r="BR40" s="1136"/>
      <c r="BS40" s="1136"/>
      <c r="BT40" s="1136"/>
      <c r="BU40" s="1136"/>
      <c r="BV40" s="1136"/>
      <c r="BW40" s="1136"/>
      <c r="BX40" s="1136"/>
      <c r="BY40" s="1136"/>
      <c r="BZ40" s="1136"/>
      <c r="CA40" s="1136"/>
      <c r="CB40" s="1136"/>
      <c r="CC40" s="1136"/>
      <c r="CD40" s="1136"/>
      <c r="CE40" s="1136"/>
      <c r="CF40" s="1136"/>
      <c r="CG40" s="1136"/>
      <c r="CH40" s="1136"/>
      <c r="CI40" s="1136"/>
      <c r="CJ40" s="1136"/>
      <c r="CK40" s="1136"/>
      <c r="CL40" s="1136"/>
      <c r="CM40" s="1136"/>
      <c r="CN40" s="1136"/>
      <c r="CO40" s="1136"/>
      <c r="CP40" s="1136"/>
      <c r="CQ40" s="1136"/>
      <c r="CR40" s="1136"/>
      <c r="CS40" s="1136"/>
      <c r="CT40" s="1136"/>
      <c r="CU40" s="1136"/>
      <c r="CV40" s="1136"/>
      <c r="CW40" s="1136"/>
      <c r="CX40" s="1136"/>
      <c r="CY40" s="1136"/>
      <c r="CZ40" s="1136"/>
      <c r="DA40" s="1136"/>
      <c r="DB40" s="1136"/>
      <c r="DC40" s="1136"/>
      <c r="DD40" s="1136"/>
      <c r="DE40" s="1136"/>
      <c r="DF40" s="1136"/>
      <c r="DG40" s="1136"/>
      <c r="DH40" s="1136"/>
      <c r="DI40" s="1136"/>
      <c r="DJ40" s="1136"/>
      <c r="DK40" s="1136"/>
      <c r="DL40" s="1136"/>
      <c r="DM40" s="1136"/>
      <c r="DN40" s="1136"/>
      <c r="DO40" s="1136"/>
      <c r="DP40" s="1136"/>
      <c r="DQ40" s="1136"/>
      <c r="DR40" s="1136"/>
      <c r="DS40" s="1136"/>
      <c r="DT40" s="1136"/>
      <c r="DU40" s="1136"/>
      <c r="DV40" s="1136"/>
      <c r="DW40" s="1136"/>
      <c r="DX40" s="1136"/>
      <c r="DY40" s="1136"/>
      <c r="DZ40" s="1136"/>
      <c r="EA40" s="1136"/>
      <c r="EB40" s="1136"/>
      <c r="EC40" s="1136"/>
      <c r="ED40" s="1136"/>
      <c r="EE40" s="1136"/>
      <c r="EF40" s="1136"/>
      <c r="EG40" s="1136"/>
      <c r="EH40" s="1136"/>
      <c r="EI40" s="1136"/>
      <c r="EJ40" s="1136"/>
      <c r="EK40" s="1136"/>
      <c r="EL40" s="1136"/>
      <c r="EM40" s="1136"/>
      <c r="EN40" s="1136"/>
      <c r="EO40" s="1136"/>
      <c r="EP40" s="1136"/>
      <c r="EQ40" s="1136"/>
      <c r="ER40" s="1136"/>
      <c r="ES40" s="1136"/>
      <c r="ET40" s="1136"/>
      <c r="EU40" s="1136"/>
      <c r="EV40" s="1136"/>
      <c r="EW40" s="1136"/>
      <c r="EX40" s="1136"/>
      <c r="EY40" s="1136"/>
      <c r="EZ40" s="1136"/>
      <c r="FA40" s="1136"/>
      <c r="FB40" s="1136"/>
      <c r="FC40" s="1136"/>
      <c r="FD40" s="1136"/>
      <c r="FE40" s="1136"/>
      <c r="FF40" s="1136"/>
      <c r="FG40" s="1136"/>
      <c r="FH40" s="1136"/>
      <c r="FI40" s="1136"/>
      <c r="FJ40" s="1136"/>
      <c r="FK40" s="1136"/>
      <c r="FL40" s="1136"/>
      <c r="FM40" s="1136"/>
      <c r="FN40" s="1136"/>
      <c r="FO40" s="1136"/>
      <c r="FP40" s="1136"/>
      <c r="FQ40" s="1136"/>
      <c r="FR40" s="1136"/>
      <c r="FS40" s="1136"/>
      <c r="FT40" s="1136"/>
      <c r="FU40" s="1136"/>
      <c r="FV40" s="1136"/>
      <c r="FW40" s="1136"/>
      <c r="FX40" s="1136"/>
      <c r="FY40" s="1136"/>
      <c r="FZ40" s="1136"/>
      <c r="GA40" s="1136"/>
      <c r="GB40" s="1136"/>
      <c r="GC40" s="1136"/>
      <c r="GD40" s="1136"/>
      <c r="GE40" s="1136"/>
      <c r="GF40" s="1136"/>
      <c r="GG40" s="1136"/>
      <c r="GH40" s="1136"/>
      <c r="GI40" s="1136"/>
      <c r="GJ40" s="1136"/>
      <c r="GK40" s="1136"/>
      <c r="GL40" s="1136"/>
      <c r="GM40" s="1136"/>
      <c r="GN40" s="1136"/>
      <c r="GO40" s="1136"/>
      <c r="GP40" s="1136"/>
      <c r="GQ40" s="1136"/>
      <c r="GR40" s="1136"/>
      <c r="GS40" s="1136"/>
      <c r="GT40" s="1136"/>
      <c r="GU40" s="1136"/>
      <c r="GV40" s="1136"/>
      <c r="GW40" s="1136"/>
      <c r="GX40" s="1136"/>
      <c r="GY40" s="1136"/>
      <c r="GZ40" s="1136"/>
      <c r="HA40" s="1136"/>
      <c r="HB40" s="1136"/>
      <c r="HC40" s="1136"/>
      <c r="HD40" s="1136"/>
      <c r="HE40" s="1136"/>
      <c r="HF40" s="1136"/>
      <c r="HG40" s="1136"/>
      <c r="HH40" s="1136"/>
      <c r="HI40" s="1136"/>
      <c r="HJ40" s="1136"/>
      <c r="HK40" s="1136"/>
      <c r="HL40" s="1136"/>
      <c r="HM40" s="1136"/>
      <c r="HN40" s="1136"/>
      <c r="HO40" s="1136"/>
      <c r="HP40" s="1136"/>
      <c r="HQ40" s="1136"/>
      <c r="HR40" s="1136"/>
      <c r="HS40" s="1136"/>
      <c r="HT40" s="1136"/>
      <c r="HU40" s="1136"/>
      <c r="HV40" s="1136"/>
      <c r="HW40" s="1136"/>
      <c r="HX40" s="1136"/>
      <c r="HY40" s="1136"/>
      <c r="HZ40" s="1136"/>
      <c r="IA40" s="1136"/>
      <c r="IB40" s="1136"/>
      <c r="IC40" s="1136"/>
      <c r="ID40" s="1136"/>
      <c r="IE40" s="1136"/>
      <c r="IF40" s="1136"/>
      <c r="IG40" s="1136"/>
      <c r="IH40" s="1136"/>
      <c r="II40" s="1136"/>
      <c r="IJ40" s="1136"/>
      <c r="IK40" s="1136"/>
      <c r="IL40" s="1136"/>
      <c r="IM40" s="1136"/>
      <c r="IN40" s="1136"/>
      <c r="IO40" s="1136"/>
      <c r="IP40" s="1136"/>
      <c r="IQ40" s="1136"/>
      <c r="IR40" s="1136"/>
      <c r="IS40" s="1136"/>
      <c r="IT40" s="1136"/>
      <c r="IU40" s="1136"/>
      <c r="IV40" s="1136"/>
    </row>
    <row r="41" spans="1:256">
      <c r="A41" s="1142"/>
      <c r="B41" s="1142"/>
      <c r="C41" s="1142"/>
      <c r="D41" s="1142"/>
      <c r="E41" s="1138"/>
      <c r="F41" s="1138"/>
      <c r="G41" s="1138"/>
      <c r="H41" s="1138"/>
      <c r="I41" s="1138"/>
      <c r="J41" s="1136"/>
      <c r="K41" s="1136"/>
      <c r="L41" s="1136"/>
      <c r="M41" s="1136"/>
      <c r="N41" s="1136"/>
      <c r="O41" s="1136"/>
      <c r="P41" s="1136"/>
      <c r="Q41" s="1136"/>
      <c r="R41" s="1136"/>
      <c r="S41" s="1136"/>
      <c r="T41" s="1136"/>
      <c r="U41" s="1136"/>
      <c r="V41" s="1136"/>
      <c r="W41" s="1136"/>
      <c r="X41" s="1136"/>
      <c r="Y41" s="1136"/>
      <c r="Z41" s="1136"/>
      <c r="AA41" s="1136"/>
      <c r="AB41" s="1136"/>
      <c r="AC41" s="1136"/>
      <c r="AD41" s="1136"/>
      <c r="AE41" s="1136"/>
      <c r="AF41" s="1136"/>
      <c r="AG41" s="1136"/>
      <c r="AH41" s="1136"/>
      <c r="AI41" s="1136"/>
      <c r="AJ41" s="1136"/>
      <c r="AK41" s="1136"/>
      <c r="AL41" s="1136"/>
      <c r="AM41" s="1136"/>
      <c r="AN41" s="1136"/>
      <c r="AO41" s="1136"/>
      <c r="AP41" s="1136"/>
      <c r="AQ41" s="1136"/>
      <c r="AR41" s="1136"/>
      <c r="AS41" s="1136"/>
      <c r="AT41" s="1136"/>
      <c r="AU41" s="1136"/>
      <c r="AV41" s="1136"/>
      <c r="AW41" s="1136"/>
      <c r="AX41" s="1136"/>
      <c r="AY41" s="1136"/>
      <c r="AZ41" s="1136"/>
      <c r="BA41" s="1136"/>
      <c r="BB41" s="1136"/>
      <c r="BC41" s="1136"/>
      <c r="BD41" s="1136"/>
      <c r="BE41" s="1136"/>
      <c r="BF41" s="1136"/>
      <c r="BG41" s="1136"/>
      <c r="BH41" s="1136"/>
      <c r="BI41" s="1136"/>
      <c r="BJ41" s="1136"/>
      <c r="BK41" s="1136"/>
      <c r="BL41" s="1136"/>
      <c r="BM41" s="1136"/>
      <c r="BN41" s="1136"/>
      <c r="BO41" s="1136"/>
      <c r="BP41" s="1136"/>
      <c r="BQ41" s="1136"/>
      <c r="BR41" s="1136"/>
      <c r="BS41" s="1136"/>
      <c r="BT41" s="1136"/>
      <c r="BU41" s="1136"/>
      <c r="BV41" s="1136"/>
      <c r="BW41" s="1136"/>
      <c r="BX41" s="1136"/>
      <c r="BY41" s="1136"/>
      <c r="BZ41" s="1136"/>
      <c r="CA41" s="1136"/>
      <c r="CB41" s="1136"/>
      <c r="CC41" s="1136"/>
      <c r="CD41" s="1136"/>
      <c r="CE41" s="1136"/>
      <c r="CF41" s="1136"/>
      <c r="CG41" s="1136"/>
      <c r="CH41" s="1136"/>
      <c r="CI41" s="1136"/>
      <c r="CJ41" s="1136"/>
      <c r="CK41" s="1136"/>
      <c r="CL41" s="1136"/>
      <c r="CM41" s="1136"/>
      <c r="CN41" s="1136"/>
      <c r="CO41" s="1136"/>
      <c r="CP41" s="1136"/>
      <c r="CQ41" s="1136"/>
      <c r="CR41" s="1136"/>
      <c r="CS41" s="1136"/>
      <c r="CT41" s="1136"/>
      <c r="CU41" s="1136"/>
      <c r="CV41" s="1136"/>
      <c r="CW41" s="1136"/>
      <c r="CX41" s="1136"/>
      <c r="CY41" s="1136"/>
      <c r="CZ41" s="1136"/>
      <c r="DA41" s="1136"/>
      <c r="DB41" s="1136"/>
      <c r="DC41" s="1136"/>
      <c r="DD41" s="1136"/>
      <c r="DE41" s="1136"/>
      <c r="DF41" s="1136"/>
      <c r="DG41" s="1136"/>
      <c r="DH41" s="1136"/>
      <c r="DI41" s="1136"/>
      <c r="DJ41" s="1136"/>
      <c r="DK41" s="1136"/>
      <c r="DL41" s="1136"/>
      <c r="DM41" s="1136"/>
      <c r="DN41" s="1136"/>
      <c r="DO41" s="1136"/>
      <c r="DP41" s="1136"/>
      <c r="DQ41" s="1136"/>
      <c r="DR41" s="1136"/>
      <c r="DS41" s="1136"/>
      <c r="DT41" s="1136"/>
      <c r="DU41" s="1136"/>
      <c r="DV41" s="1136"/>
      <c r="DW41" s="1136"/>
      <c r="DX41" s="1136"/>
      <c r="DY41" s="1136"/>
      <c r="DZ41" s="1136"/>
      <c r="EA41" s="1136"/>
      <c r="EB41" s="1136"/>
      <c r="EC41" s="1136"/>
      <c r="ED41" s="1136"/>
      <c r="EE41" s="1136"/>
      <c r="EF41" s="1136"/>
      <c r="EG41" s="1136"/>
      <c r="EH41" s="1136"/>
      <c r="EI41" s="1136"/>
      <c r="EJ41" s="1136"/>
      <c r="EK41" s="1136"/>
      <c r="EL41" s="1136"/>
      <c r="EM41" s="1136"/>
      <c r="EN41" s="1136"/>
      <c r="EO41" s="1136"/>
      <c r="EP41" s="1136"/>
      <c r="EQ41" s="1136"/>
      <c r="ER41" s="1136"/>
      <c r="ES41" s="1136"/>
      <c r="ET41" s="1136"/>
      <c r="EU41" s="1136"/>
      <c r="EV41" s="1136"/>
      <c r="EW41" s="1136"/>
      <c r="EX41" s="1136"/>
      <c r="EY41" s="1136"/>
      <c r="EZ41" s="1136"/>
      <c r="FA41" s="1136"/>
      <c r="FB41" s="1136"/>
      <c r="FC41" s="1136"/>
      <c r="FD41" s="1136"/>
      <c r="FE41" s="1136"/>
      <c r="FF41" s="1136"/>
      <c r="FG41" s="1136"/>
      <c r="FH41" s="1136"/>
      <c r="FI41" s="1136"/>
      <c r="FJ41" s="1136"/>
      <c r="FK41" s="1136"/>
      <c r="FL41" s="1136"/>
      <c r="FM41" s="1136"/>
      <c r="FN41" s="1136"/>
      <c r="FO41" s="1136"/>
      <c r="FP41" s="1136"/>
      <c r="FQ41" s="1136"/>
      <c r="FR41" s="1136"/>
      <c r="FS41" s="1136"/>
      <c r="FT41" s="1136"/>
      <c r="FU41" s="1136"/>
      <c r="FV41" s="1136"/>
      <c r="FW41" s="1136"/>
      <c r="FX41" s="1136"/>
      <c r="FY41" s="1136"/>
      <c r="FZ41" s="1136"/>
      <c r="GA41" s="1136"/>
      <c r="GB41" s="1136"/>
      <c r="GC41" s="1136"/>
      <c r="GD41" s="1136"/>
      <c r="GE41" s="1136"/>
      <c r="GF41" s="1136"/>
      <c r="GG41" s="1136"/>
      <c r="GH41" s="1136"/>
      <c r="GI41" s="1136"/>
      <c r="GJ41" s="1136"/>
      <c r="GK41" s="1136"/>
      <c r="GL41" s="1136"/>
      <c r="GM41" s="1136"/>
      <c r="GN41" s="1136"/>
      <c r="GO41" s="1136"/>
      <c r="GP41" s="1136"/>
      <c r="GQ41" s="1136"/>
      <c r="GR41" s="1136"/>
      <c r="GS41" s="1136"/>
      <c r="GT41" s="1136"/>
      <c r="GU41" s="1136"/>
      <c r="GV41" s="1136"/>
      <c r="GW41" s="1136"/>
      <c r="GX41" s="1136"/>
      <c r="GY41" s="1136"/>
      <c r="GZ41" s="1136"/>
      <c r="HA41" s="1136"/>
      <c r="HB41" s="1136"/>
      <c r="HC41" s="1136"/>
      <c r="HD41" s="1136"/>
      <c r="HE41" s="1136"/>
      <c r="HF41" s="1136"/>
      <c r="HG41" s="1136"/>
      <c r="HH41" s="1136"/>
      <c r="HI41" s="1136"/>
      <c r="HJ41" s="1136"/>
      <c r="HK41" s="1136"/>
      <c r="HL41" s="1136"/>
      <c r="HM41" s="1136"/>
      <c r="HN41" s="1136"/>
      <c r="HO41" s="1136"/>
      <c r="HP41" s="1136"/>
      <c r="HQ41" s="1136"/>
      <c r="HR41" s="1136"/>
      <c r="HS41" s="1136"/>
      <c r="HT41" s="1136"/>
      <c r="HU41" s="1136"/>
      <c r="HV41" s="1136"/>
      <c r="HW41" s="1136"/>
      <c r="HX41" s="1136"/>
      <c r="HY41" s="1136"/>
      <c r="HZ41" s="1136"/>
      <c r="IA41" s="1136"/>
      <c r="IB41" s="1136"/>
      <c r="IC41" s="1136"/>
      <c r="ID41" s="1136"/>
      <c r="IE41" s="1136"/>
      <c r="IF41" s="1136"/>
      <c r="IG41" s="1136"/>
      <c r="IH41" s="1136"/>
      <c r="II41" s="1136"/>
      <c r="IJ41" s="1136"/>
      <c r="IK41" s="1136"/>
      <c r="IL41" s="1136"/>
      <c r="IM41" s="1136"/>
      <c r="IN41" s="1136"/>
      <c r="IO41" s="1136"/>
      <c r="IP41" s="1136"/>
      <c r="IQ41" s="1136"/>
      <c r="IR41" s="1136"/>
      <c r="IS41" s="1136"/>
      <c r="IT41" s="1136"/>
      <c r="IU41" s="1136"/>
      <c r="IV41" s="1136"/>
    </row>
    <row r="42" spans="1:256" ht="15.75">
      <c r="A42" s="1136"/>
      <c r="B42" s="1145" t="s">
        <v>303</v>
      </c>
      <c r="C42" s="1145" t="s">
        <v>304</v>
      </c>
      <c r="D42" s="1145" t="s">
        <v>47</v>
      </c>
      <c r="E42" s="1145" t="s">
        <v>306</v>
      </c>
      <c r="F42" s="1145" t="s">
        <v>231</v>
      </c>
      <c r="G42" s="1145" t="s">
        <v>232</v>
      </c>
      <c r="H42" s="1145" t="s">
        <v>233</v>
      </c>
      <c r="I42" s="1145" t="s">
        <v>238</v>
      </c>
      <c r="J42" s="1136"/>
      <c r="K42" s="1136"/>
      <c r="L42" s="1136"/>
      <c r="M42" s="1136"/>
      <c r="N42" s="1136"/>
      <c r="O42" s="1136"/>
      <c r="P42" s="1136"/>
      <c r="Q42" s="1136"/>
      <c r="R42" s="1136"/>
      <c r="S42" s="1136"/>
      <c r="T42" s="1136"/>
      <c r="U42" s="1136"/>
      <c r="V42" s="1136"/>
      <c r="W42" s="1136"/>
      <c r="X42" s="1136"/>
      <c r="Y42" s="1136"/>
      <c r="Z42" s="1136"/>
      <c r="AA42" s="1136"/>
      <c r="AB42" s="1136"/>
      <c r="AC42" s="1136"/>
      <c r="AD42" s="1136"/>
      <c r="AE42" s="1136"/>
      <c r="AF42" s="1136"/>
      <c r="AG42" s="1136"/>
      <c r="AH42" s="1136"/>
      <c r="AI42" s="1136"/>
      <c r="AJ42" s="1136"/>
      <c r="AK42" s="1136"/>
      <c r="AL42" s="1136"/>
      <c r="AM42" s="1136"/>
      <c r="AN42" s="1136"/>
      <c r="AO42" s="1136"/>
      <c r="AP42" s="1136"/>
      <c r="AQ42" s="1136"/>
      <c r="AR42" s="1136"/>
      <c r="AS42" s="1136"/>
      <c r="AT42" s="1136"/>
      <c r="AU42" s="1136"/>
      <c r="AV42" s="1136"/>
      <c r="AW42" s="1136"/>
      <c r="AX42" s="1136"/>
      <c r="AY42" s="1136"/>
      <c r="AZ42" s="1136"/>
      <c r="BA42" s="1136"/>
      <c r="BB42" s="1136"/>
      <c r="BC42" s="1136"/>
      <c r="BD42" s="1136"/>
      <c r="BE42" s="1136"/>
      <c r="BF42" s="1136"/>
      <c r="BG42" s="1136"/>
      <c r="BH42" s="1136"/>
      <c r="BI42" s="1136"/>
      <c r="BJ42" s="1136"/>
      <c r="BK42" s="1136"/>
      <c r="BL42" s="1136"/>
      <c r="BM42" s="1136"/>
      <c r="BN42" s="1136"/>
      <c r="BO42" s="1136"/>
      <c r="BP42" s="1136"/>
      <c r="BQ42" s="1136"/>
      <c r="BR42" s="1136"/>
      <c r="BS42" s="1136"/>
      <c r="BT42" s="1136"/>
      <c r="BU42" s="1136"/>
      <c r="BV42" s="1136"/>
      <c r="BW42" s="1136"/>
      <c r="BX42" s="1136"/>
      <c r="BY42" s="1136"/>
      <c r="BZ42" s="1136"/>
      <c r="CA42" s="1136"/>
      <c r="CB42" s="1136"/>
      <c r="CC42" s="1136"/>
      <c r="CD42" s="1136"/>
      <c r="CE42" s="1136"/>
      <c r="CF42" s="1136"/>
      <c r="CG42" s="1136"/>
      <c r="CH42" s="1136"/>
      <c r="CI42" s="1136"/>
      <c r="CJ42" s="1136"/>
      <c r="CK42" s="1136"/>
      <c r="CL42" s="1136"/>
      <c r="CM42" s="1136"/>
      <c r="CN42" s="1136"/>
      <c r="CO42" s="1136"/>
      <c r="CP42" s="1136"/>
      <c r="CQ42" s="1136"/>
      <c r="CR42" s="1136"/>
      <c r="CS42" s="1136"/>
      <c r="CT42" s="1136"/>
      <c r="CU42" s="1136"/>
      <c r="CV42" s="1136"/>
      <c r="CW42" s="1136"/>
      <c r="CX42" s="1136"/>
      <c r="CY42" s="1136"/>
      <c r="CZ42" s="1136"/>
      <c r="DA42" s="1136"/>
      <c r="DB42" s="1136"/>
      <c r="DC42" s="1136"/>
      <c r="DD42" s="1136"/>
      <c r="DE42" s="1136"/>
      <c r="DF42" s="1136"/>
      <c r="DG42" s="1136"/>
      <c r="DH42" s="1136"/>
      <c r="DI42" s="1136"/>
      <c r="DJ42" s="1136"/>
      <c r="DK42" s="1136"/>
      <c r="DL42" s="1136"/>
      <c r="DM42" s="1136"/>
      <c r="DN42" s="1136"/>
      <c r="DO42" s="1136"/>
      <c r="DP42" s="1136"/>
      <c r="DQ42" s="1136"/>
      <c r="DR42" s="1136"/>
      <c r="DS42" s="1136"/>
      <c r="DT42" s="1136"/>
      <c r="DU42" s="1136"/>
      <c r="DV42" s="1136"/>
      <c r="DW42" s="1136"/>
      <c r="DX42" s="1136"/>
      <c r="DY42" s="1136"/>
      <c r="DZ42" s="1136"/>
      <c r="EA42" s="1136"/>
      <c r="EB42" s="1136"/>
      <c r="EC42" s="1136"/>
      <c r="ED42" s="1136"/>
      <c r="EE42" s="1136"/>
      <c r="EF42" s="1136"/>
      <c r="EG42" s="1136"/>
      <c r="EH42" s="1136"/>
      <c r="EI42" s="1136"/>
      <c r="EJ42" s="1136"/>
      <c r="EK42" s="1136"/>
      <c r="EL42" s="1136"/>
      <c r="EM42" s="1136"/>
      <c r="EN42" s="1136"/>
      <c r="EO42" s="1136"/>
      <c r="EP42" s="1136"/>
      <c r="EQ42" s="1136"/>
      <c r="ER42" s="1136"/>
      <c r="ES42" s="1136"/>
      <c r="ET42" s="1136"/>
      <c r="EU42" s="1136"/>
      <c r="EV42" s="1136"/>
      <c r="EW42" s="1136"/>
      <c r="EX42" s="1136"/>
      <c r="EY42" s="1136"/>
      <c r="EZ42" s="1136"/>
      <c r="FA42" s="1136"/>
      <c r="FB42" s="1136"/>
      <c r="FC42" s="1136"/>
      <c r="FD42" s="1136"/>
      <c r="FE42" s="1136"/>
      <c r="FF42" s="1136"/>
      <c r="FG42" s="1136"/>
      <c r="FH42" s="1136"/>
      <c r="FI42" s="1136"/>
      <c r="FJ42" s="1136"/>
      <c r="FK42" s="1136"/>
      <c r="FL42" s="1136"/>
      <c r="FM42" s="1136"/>
      <c r="FN42" s="1136"/>
      <c r="FO42" s="1136"/>
      <c r="FP42" s="1136"/>
      <c r="FQ42" s="1136"/>
      <c r="FR42" s="1136"/>
      <c r="FS42" s="1136"/>
      <c r="FT42" s="1136"/>
      <c r="FU42" s="1136"/>
      <c r="FV42" s="1136"/>
      <c r="FW42" s="1136"/>
      <c r="FX42" s="1136"/>
      <c r="FY42" s="1136"/>
      <c r="FZ42" s="1136"/>
      <c r="GA42" s="1136"/>
      <c r="GB42" s="1136"/>
      <c r="GC42" s="1136"/>
      <c r="GD42" s="1136"/>
      <c r="GE42" s="1136"/>
      <c r="GF42" s="1136"/>
      <c r="GG42" s="1136"/>
      <c r="GH42" s="1136"/>
      <c r="GI42" s="1136"/>
      <c r="GJ42" s="1136"/>
      <c r="GK42" s="1136"/>
      <c r="GL42" s="1136"/>
      <c r="GM42" s="1136"/>
      <c r="GN42" s="1136"/>
      <c r="GO42" s="1136"/>
      <c r="GP42" s="1136"/>
      <c r="GQ42" s="1136"/>
      <c r="GR42" s="1136"/>
      <c r="GS42" s="1136"/>
      <c r="GT42" s="1136"/>
      <c r="GU42" s="1136"/>
      <c r="GV42" s="1136"/>
      <c r="GW42" s="1136"/>
      <c r="GX42" s="1136"/>
      <c r="GY42" s="1136"/>
      <c r="GZ42" s="1136"/>
      <c r="HA42" s="1136"/>
      <c r="HB42" s="1136"/>
      <c r="HC42" s="1136"/>
      <c r="HD42" s="1136"/>
      <c r="HE42" s="1136"/>
      <c r="HF42" s="1136"/>
      <c r="HG42" s="1136"/>
      <c r="HH42" s="1136"/>
      <c r="HI42" s="1136"/>
      <c r="HJ42" s="1136"/>
      <c r="HK42" s="1136"/>
      <c r="HL42" s="1136"/>
      <c r="HM42" s="1136"/>
      <c r="HN42" s="1136"/>
      <c r="HO42" s="1136"/>
      <c r="HP42" s="1136"/>
      <c r="HQ42" s="1136"/>
      <c r="HR42" s="1136"/>
      <c r="HS42" s="1136"/>
      <c r="HT42" s="1136"/>
      <c r="HU42" s="1136"/>
      <c r="HV42" s="1136"/>
      <c r="HW42" s="1136"/>
      <c r="HX42" s="1136"/>
      <c r="HY42" s="1136"/>
      <c r="HZ42" s="1136"/>
      <c r="IA42" s="1136"/>
      <c r="IB42" s="1136"/>
      <c r="IC42" s="1136"/>
      <c r="ID42" s="1136"/>
      <c r="IE42" s="1136"/>
      <c r="IF42" s="1136"/>
      <c r="IG42" s="1136"/>
      <c r="IH42" s="1136"/>
      <c r="II42" s="1136"/>
      <c r="IJ42" s="1136"/>
      <c r="IK42" s="1136"/>
      <c r="IL42" s="1136"/>
      <c r="IM42" s="1136"/>
      <c r="IN42" s="1136"/>
      <c r="IO42" s="1136"/>
      <c r="IP42" s="1136"/>
      <c r="IQ42" s="1136"/>
      <c r="IR42" s="1136"/>
      <c r="IS42" s="1136"/>
      <c r="IT42" s="1136"/>
      <c r="IU42" s="1136"/>
      <c r="IV42" s="1136"/>
    </row>
    <row r="43" spans="1:256" ht="39">
      <c r="A43" s="1146" t="s">
        <v>310</v>
      </c>
      <c r="B43" s="1147" t="s">
        <v>512</v>
      </c>
      <c r="C43" s="1147" t="s">
        <v>513</v>
      </c>
      <c r="D43" s="1147" t="s">
        <v>521</v>
      </c>
      <c r="E43" s="1147" t="s">
        <v>522</v>
      </c>
      <c r="F43" s="1147" t="s">
        <v>523</v>
      </c>
      <c r="G43" s="1147" t="s">
        <v>524</v>
      </c>
      <c r="H43" s="1147" t="s">
        <v>514</v>
      </c>
      <c r="I43" s="1147" t="s">
        <v>525</v>
      </c>
      <c r="J43" s="1136"/>
      <c r="K43" s="1148"/>
      <c r="L43" s="1148"/>
      <c r="M43" s="1148"/>
      <c r="N43" s="1148"/>
      <c r="O43" s="1148"/>
      <c r="P43" s="1148"/>
      <c r="Q43" s="1148"/>
      <c r="R43" s="1148"/>
      <c r="S43" s="1148"/>
      <c r="T43" s="1148"/>
      <c r="U43" s="1148"/>
      <c r="V43" s="1148"/>
      <c r="W43" s="1148"/>
      <c r="X43" s="1148"/>
      <c r="Y43" s="1148"/>
      <c r="Z43" s="1148"/>
      <c r="AA43" s="1148"/>
      <c r="AB43" s="1148"/>
      <c r="AC43" s="1148"/>
      <c r="AD43" s="1148"/>
      <c r="AE43" s="1148"/>
      <c r="AF43" s="1148"/>
      <c r="AG43" s="1148"/>
      <c r="AH43" s="1148"/>
      <c r="AI43" s="1148"/>
      <c r="AJ43" s="1148"/>
      <c r="AK43" s="1148"/>
      <c r="AL43" s="1148"/>
      <c r="AM43" s="1148"/>
      <c r="AN43" s="1148"/>
      <c r="AO43" s="1148"/>
      <c r="AP43" s="1148"/>
      <c r="AQ43" s="1148"/>
      <c r="AR43" s="1148"/>
      <c r="AS43" s="1148"/>
      <c r="AT43" s="1148"/>
      <c r="AU43" s="1148"/>
      <c r="AV43" s="1148"/>
      <c r="AW43" s="1148"/>
      <c r="AX43" s="1148"/>
      <c r="AY43" s="1148"/>
      <c r="AZ43" s="1148"/>
      <c r="BA43" s="1148"/>
      <c r="BB43" s="1148"/>
      <c r="BC43" s="1148"/>
      <c r="BD43" s="1148"/>
      <c r="BE43" s="1148"/>
      <c r="BF43" s="1148"/>
      <c r="BG43" s="1148"/>
      <c r="BH43" s="1148"/>
      <c r="BI43" s="1148"/>
      <c r="BJ43" s="1148"/>
      <c r="BK43" s="1148"/>
      <c r="BL43" s="1148"/>
      <c r="BM43" s="1148"/>
      <c r="BN43" s="1148"/>
      <c r="BO43" s="1148"/>
      <c r="BP43" s="1148"/>
      <c r="BQ43" s="1148"/>
      <c r="BR43" s="1148"/>
      <c r="BS43" s="1148"/>
      <c r="BT43" s="1148"/>
      <c r="BU43" s="1148"/>
      <c r="BV43" s="1148"/>
      <c r="BW43" s="1148"/>
      <c r="BX43" s="1148"/>
      <c r="BY43" s="1148"/>
      <c r="BZ43" s="1148"/>
      <c r="CA43" s="1148"/>
      <c r="CB43" s="1148"/>
      <c r="CC43" s="1148"/>
      <c r="CD43" s="1148"/>
      <c r="CE43" s="1148"/>
      <c r="CF43" s="1148"/>
      <c r="CG43" s="1148"/>
      <c r="CH43" s="1148"/>
      <c r="CI43" s="1148"/>
      <c r="CJ43" s="1148"/>
      <c r="CK43" s="1148"/>
      <c r="CL43" s="1148"/>
      <c r="CM43" s="1148"/>
      <c r="CN43" s="1148"/>
      <c r="CO43" s="1148"/>
      <c r="CP43" s="1148"/>
      <c r="CQ43" s="1148"/>
      <c r="CR43" s="1148"/>
      <c r="CS43" s="1148"/>
      <c r="CT43" s="1148"/>
      <c r="CU43" s="1148"/>
      <c r="CV43" s="1148"/>
      <c r="CW43" s="1148"/>
      <c r="CX43" s="1148"/>
      <c r="CY43" s="1148"/>
      <c r="CZ43" s="1148"/>
      <c r="DA43" s="1148"/>
      <c r="DB43" s="1148"/>
      <c r="DC43" s="1148"/>
      <c r="DD43" s="1148"/>
      <c r="DE43" s="1148"/>
      <c r="DF43" s="1148"/>
      <c r="DG43" s="1148"/>
      <c r="DH43" s="1148"/>
      <c r="DI43" s="1148"/>
      <c r="DJ43" s="1148"/>
      <c r="DK43" s="1148"/>
      <c r="DL43" s="1148"/>
      <c r="DM43" s="1148"/>
      <c r="DN43" s="1148"/>
      <c r="DO43" s="1148"/>
      <c r="DP43" s="1148"/>
      <c r="DQ43" s="1148"/>
      <c r="DR43" s="1148"/>
      <c r="DS43" s="1148"/>
      <c r="DT43" s="1148"/>
      <c r="DU43" s="1148"/>
      <c r="DV43" s="1148"/>
      <c r="DW43" s="1148"/>
      <c r="DX43" s="1148"/>
      <c r="DY43" s="1148"/>
      <c r="DZ43" s="1148"/>
      <c r="EA43" s="1148"/>
      <c r="EB43" s="1148"/>
      <c r="EC43" s="1148"/>
      <c r="ED43" s="1148"/>
      <c r="EE43" s="1148"/>
      <c r="EF43" s="1148"/>
      <c r="EG43" s="1148"/>
      <c r="EH43" s="1148"/>
      <c r="EI43" s="1148"/>
      <c r="EJ43" s="1148"/>
      <c r="EK43" s="1148"/>
      <c r="EL43" s="1148"/>
      <c r="EM43" s="1148"/>
      <c r="EN43" s="1148"/>
      <c r="EO43" s="1148"/>
      <c r="EP43" s="1148"/>
      <c r="EQ43" s="1148"/>
      <c r="ER43" s="1148"/>
      <c r="ES43" s="1148"/>
      <c r="ET43" s="1148"/>
      <c r="EU43" s="1148"/>
      <c r="EV43" s="1148"/>
      <c r="EW43" s="1148"/>
      <c r="EX43" s="1148"/>
      <c r="EY43" s="1148"/>
      <c r="EZ43" s="1148"/>
      <c r="FA43" s="1148"/>
      <c r="FB43" s="1148"/>
      <c r="FC43" s="1148"/>
      <c r="FD43" s="1148"/>
      <c r="FE43" s="1148"/>
      <c r="FF43" s="1148"/>
      <c r="FG43" s="1148"/>
      <c r="FH43" s="1148"/>
      <c r="FI43" s="1148"/>
      <c r="FJ43" s="1148"/>
      <c r="FK43" s="1148"/>
      <c r="FL43" s="1148"/>
      <c r="FM43" s="1148"/>
      <c r="FN43" s="1148"/>
      <c r="FO43" s="1148"/>
      <c r="FP43" s="1148"/>
      <c r="FQ43" s="1148"/>
      <c r="FR43" s="1148"/>
      <c r="FS43" s="1148"/>
      <c r="FT43" s="1148"/>
      <c r="FU43" s="1148"/>
      <c r="FV43" s="1148"/>
      <c r="FW43" s="1148"/>
      <c r="FX43" s="1148"/>
      <c r="FY43" s="1148"/>
      <c r="FZ43" s="1148"/>
      <c r="GA43" s="1148"/>
      <c r="GB43" s="1148"/>
      <c r="GC43" s="1148"/>
      <c r="GD43" s="1148"/>
      <c r="GE43" s="1148"/>
      <c r="GF43" s="1148"/>
      <c r="GG43" s="1148"/>
      <c r="GH43" s="1148"/>
      <c r="GI43" s="1148"/>
      <c r="GJ43" s="1148"/>
      <c r="GK43" s="1148"/>
      <c r="GL43" s="1148"/>
      <c r="GM43" s="1148"/>
      <c r="GN43" s="1148"/>
      <c r="GO43" s="1148"/>
      <c r="GP43" s="1148"/>
      <c r="GQ43" s="1148"/>
      <c r="GR43" s="1148"/>
      <c r="GS43" s="1148"/>
      <c r="GT43" s="1148"/>
      <c r="GU43" s="1148"/>
      <c r="GV43" s="1148"/>
      <c r="GW43" s="1148"/>
      <c r="GX43" s="1148"/>
      <c r="GY43" s="1148"/>
      <c r="GZ43" s="1148"/>
      <c r="HA43" s="1148"/>
      <c r="HB43" s="1148"/>
      <c r="HC43" s="1148"/>
      <c r="HD43" s="1148"/>
      <c r="HE43" s="1148"/>
      <c r="HF43" s="1148"/>
      <c r="HG43" s="1148"/>
      <c r="HH43" s="1148"/>
      <c r="HI43" s="1148"/>
      <c r="HJ43" s="1148"/>
      <c r="HK43" s="1148"/>
      <c r="HL43" s="1148"/>
      <c r="HM43" s="1148"/>
      <c r="HN43" s="1148"/>
      <c r="HO43" s="1148"/>
      <c r="HP43" s="1148"/>
      <c r="HQ43" s="1148"/>
      <c r="HR43" s="1148"/>
      <c r="HS43" s="1148"/>
      <c r="HT43" s="1148"/>
      <c r="HU43" s="1148"/>
      <c r="HV43" s="1148"/>
      <c r="HW43" s="1148"/>
      <c r="HX43" s="1148"/>
      <c r="HY43" s="1148"/>
      <c r="HZ43" s="1148"/>
      <c r="IA43" s="1148"/>
      <c r="IB43" s="1148"/>
      <c r="IC43" s="1148"/>
      <c r="ID43" s="1148"/>
      <c r="IE43" s="1148"/>
      <c r="IF43" s="1148"/>
      <c r="IG43" s="1148"/>
      <c r="IH43" s="1148"/>
      <c r="II43" s="1148"/>
      <c r="IJ43" s="1148"/>
      <c r="IK43" s="1148"/>
      <c r="IL43" s="1148"/>
      <c r="IM43" s="1148"/>
      <c r="IN43" s="1148"/>
      <c r="IO43" s="1148"/>
      <c r="IP43" s="1148"/>
      <c r="IQ43" s="1148"/>
      <c r="IR43" s="1148"/>
      <c r="IS43" s="1148"/>
      <c r="IT43" s="1148"/>
      <c r="IU43" s="1148"/>
      <c r="IV43" s="1148"/>
    </row>
    <row r="44" spans="1:256">
      <c r="A44" s="1140">
        <f>+A40+1</f>
        <v>24</v>
      </c>
      <c r="B44" s="1137" t="s">
        <v>515</v>
      </c>
      <c r="C44" s="1149">
        <f>+H38</f>
        <v>0</v>
      </c>
      <c r="D44" s="1149">
        <f>C44</f>
        <v>0</v>
      </c>
      <c r="E44" s="1137"/>
      <c r="F44" s="964">
        <v>365</v>
      </c>
      <c r="G44" s="1150">
        <f>F44/$F$18</f>
        <v>1</v>
      </c>
      <c r="H44" s="1149">
        <f>C44*G44</f>
        <v>0</v>
      </c>
      <c r="I44" s="1149">
        <f>H44</f>
        <v>0</v>
      </c>
      <c r="J44" s="1136"/>
      <c r="K44" s="1136"/>
      <c r="L44" s="1136"/>
      <c r="M44" s="1136"/>
      <c r="N44" s="1136"/>
      <c r="O44" s="1136"/>
      <c r="P44" s="1136"/>
      <c r="Q44" s="1136"/>
      <c r="R44" s="1136"/>
      <c r="S44" s="1136"/>
      <c r="T44" s="1136"/>
      <c r="U44" s="1136"/>
      <c r="V44" s="1136"/>
      <c r="W44" s="1136"/>
      <c r="X44" s="1136"/>
      <c r="Y44" s="1136"/>
      <c r="Z44" s="1136"/>
      <c r="AA44" s="1136"/>
      <c r="AB44" s="1136"/>
      <c r="AC44" s="1136"/>
      <c r="AD44" s="1136"/>
      <c r="AE44" s="1136"/>
      <c r="AF44" s="1136"/>
      <c r="AG44" s="1136"/>
      <c r="AH44" s="1136"/>
      <c r="AI44" s="1136"/>
      <c r="AJ44" s="1136"/>
      <c r="AK44" s="1136"/>
      <c r="AL44" s="1136"/>
      <c r="AM44" s="1136"/>
      <c r="AN44" s="1136"/>
      <c r="AO44" s="1136"/>
      <c r="AP44" s="1136"/>
      <c r="AQ44" s="1136"/>
      <c r="AR44" s="1136"/>
      <c r="AS44" s="1136"/>
      <c r="AT44" s="1136"/>
      <c r="AU44" s="1136"/>
      <c r="AV44" s="1136"/>
      <c r="AW44" s="1136"/>
      <c r="AX44" s="1136"/>
      <c r="AY44" s="1136"/>
      <c r="AZ44" s="1136"/>
      <c r="BA44" s="1136"/>
      <c r="BB44" s="1136"/>
      <c r="BC44" s="1136"/>
      <c r="BD44" s="1136"/>
      <c r="BE44" s="1136"/>
      <c r="BF44" s="1136"/>
      <c r="BG44" s="1136"/>
      <c r="BH44" s="1136"/>
      <c r="BI44" s="1136"/>
      <c r="BJ44" s="1136"/>
      <c r="BK44" s="1136"/>
      <c r="BL44" s="1136"/>
      <c r="BM44" s="1136"/>
      <c r="BN44" s="1136"/>
      <c r="BO44" s="1136"/>
      <c r="BP44" s="1136"/>
      <c r="BQ44" s="1136"/>
      <c r="BR44" s="1136"/>
      <c r="BS44" s="1136"/>
      <c r="BT44" s="1136"/>
      <c r="BU44" s="1136"/>
      <c r="BV44" s="1136"/>
      <c r="BW44" s="1136"/>
      <c r="BX44" s="1136"/>
      <c r="BY44" s="1136"/>
      <c r="BZ44" s="1136"/>
      <c r="CA44" s="1136"/>
      <c r="CB44" s="1136"/>
      <c r="CC44" s="1136"/>
      <c r="CD44" s="1136"/>
      <c r="CE44" s="1136"/>
      <c r="CF44" s="1136"/>
      <c r="CG44" s="1136"/>
      <c r="CH44" s="1136"/>
      <c r="CI44" s="1136"/>
      <c r="CJ44" s="1136"/>
      <c r="CK44" s="1136"/>
      <c r="CL44" s="1136"/>
      <c r="CM44" s="1136"/>
      <c r="CN44" s="1136"/>
      <c r="CO44" s="1136"/>
      <c r="CP44" s="1136"/>
      <c r="CQ44" s="1136"/>
      <c r="CR44" s="1136"/>
      <c r="CS44" s="1136"/>
      <c r="CT44" s="1136"/>
      <c r="CU44" s="1136"/>
      <c r="CV44" s="1136"/>
      <c r="CW44" s="1136"/>
      <c r="CX44" s="1136"/>
      <c r="CY44" s="1136"/>
      <c r="CZ44" s="1136"/>
      <c r="DA44" s="1136"/>
      <c r="DB44" s="1136"/>
      <c r="DC44" s="1136"/>
      <c r="DD44" s="1136"/>
      <c r="DE44" s="1136"/>
      <c r="DF44" s="1136"/>
      <c r="DG44" s="1136"/>
      <c r="DH44" s="1136"/>
      <c r="DI44" s="1136"/>
      <c r="DJ44" s="1136"/>
      <c r="DK44" s="1136"/>
      <c r="DL44" s="1136"/>
      <c r="DM44" s="1136"/>
      <c r="DN44" s="1136"/>
      <c r="DO44" s="1136"/>
      <c r="DP44" s="1136"/>
      <c r="DQ44" s="1136"/>
      <c r="DR44" s="1136"/>
      <c r="DS44" s="1136"/>
      <c r="DT44" s="1136"/>
      <c r="DU44" s="1136"/>
      <c r="DV44" s="1136"/>
      <c r="DW44" s="1136"/>
      <c r="DX44" s="1136"/>
      <c r="DY44" s="1136"/>
      <c r="DZ44" s="1136"/>
      <c r="EA44" s="1136"/>
      <c r="EB44" s="1136"/>
      <c r="EC44" s="1136"/>
      <c r="ED44" s="1136"/>
      <c r="EE44" s="1136"/>
      <c r="EF44" s="1136"/>
      <c r="EG44" s="1136"/>
      <c r="EH44" s="1136"/>
      <c r="EI44" s="1136"/>
      <c r="EJ44" s="1136"/>
      <c r="EK44" s="1136"/>
      <c r="EL44" s="1136"/>
      <c r="EM44" s="1136"/>
      <c r="EN44" s="1136"/>
      <c r="EO44" s="1136"/>
      <c r="EP44" s="1136"/>
      <c r="EQ44" s="1136"/>
      <c r="ER44" s="1136"/>
      <c r="ES44" s="1136"/>
      <c r="ET44" s="1136"/>
      <c r="EU44" s="1136"/>
      <c r="EV44" s="1136"/>
      <c r="EW44" s="1136"/>
      <c r="EX44" s="1136"/>
      <c r="EY44" s="1136"/>
      <c r="EZ44" s="1136"/>
      <c r="FA44" s="1136"/>
      <c r="FB44" s="1136"/>
      <c r="FC44" s="1136"/>
      <c r="FD44" s="1136"/>
      <c r="FE44" s="1136"/>
      <c r="FF44" s="1136"/>
      <c r="FG44" s="1136"/>
      <c r="FH44" s="1136"/>
      <c r="FI44" s="1136"/>
      <c r="FJ44" s="1136"/>
      <c r="FK44" s="1136"/>
      <c r="FL44" s="1136"/>
      <c r="FM44" s="1136"/>
      <c r="FN44" s="1136"/>
      <c r="FO44" s="1136"/>
      <c r="FP44" s="1136"/>
      <c r="FQ44" s="1136"/>
      <c r="FR44" s="1136"/>
      <c r="FS44" s="1136"/>
      <c r="FT44" s="1136"/>
      <c r="FU44" s="1136"/>
      <c r="FV44" s="1136"/>
      <c r="FW44" s="1136"/>
      <c r="FX44" s="1136"/>
      <c r="FY44" s="1136"/>
      <c r="FZ44" s="1136"/>
      <c r="GA44" s="1136"/>
      <c r="GB44" s="1136"/>
      <c r="GC44" s="1136"/>
      <c r="GD44" s="1136"/>
      <c r="GE44" s="1136"/>
      <c r="GF44" s="1136"/>
      <c r="GG44" s="1136"/>
      <c r="GH44" s="1136"/>
      <c r="GI44" s="1136"/>
      <c r="GJ44" s="1136"/>
      <c r="GK44" s="1136"/>
      <c r="GL44" s="1136"/>
      <c r="GM44" s="1136"/>
      <c r="GN44" s="1136"/>
      <c r="GO44" s="1136"/>
      <c r="GP44" s="1136"/>
      <c r="GQ44" s="1136"/>
      <c r="GR44" s="1136"/>
      <c r="GS44" s="1136"/>
      <c r="GT44" s="1136"/>
      <c r="GU44" s="1136"/>
      <c r="GV44" s="1136"/>
      <c r="GW44" s="1136"/>
      <c r="GX44" s="1136"/>
      <c r="GY44" s="1136"/>
      <c r="GZ44" s="1136"/>
      <c r="HA44" s="1136"/>
      <c r="HB44" s="1136"/>
      <c r="HC44" s="1136"/>
      <c r="HD44" s="1136"/>
      <c r="HE44" s="1136"/>
      <c r="HF44" s="1136"/>
      <c r="HG44" s="1136"/>
      <c r="HH44" s="1136"/>
      <c r="HI44" s="1136"/>
      <c r="HJ44" s="1136"/>
      <c r="HK44" s="1136"/>
      <c r="HL44" s="1136"/>
      <c r="HM44" s="1136"/>
      <c r="HN44" s="1136"/>
      <c r="HO44" s="1136"/>
      <c r="HP44" s="1136"/>
      <c r="HQ44" s="1136"/>
      <c r="HR44" s="1136"/>
      <c r="HS44" s="1136"/>
      <c r="HT44" s="1136"/>
      <c r="HU44" s="1136"/>
      <c r="HV44" s="1136"/>
      <c r="HW44" s="1136"/>
      <c r="HX44" s="1136"/>
      <c r="HY44" s="1136"/>
      <c r="HZ44" s="1136"/>
      <c r="IA44" s="1136"/>
      <c r="IB44" s="1136"/>
      <c r="IC44" s="1136"/>
      <c r="ID44" s="1136"/>
      <c r="IE44" s="1136"/>
      <c r="IF44" s="1136"/>
      <c r="IG44" s="1136"/>
      <c r="IH44" s="1136"/>
      <c r="II44" s="1136"/>
      <c r="IJ44" s="1136"/>
      <c r="IK44" s="1136"/>
      <c r="IL44" s="1136"/>
      <c r="IM44" s="1136"/>
      <c r="IN44" s="1136"/>
      <c r="IO44" s="1136"/>
      <c r="IP44" s="1136"/>
      <c r="IQ44" s="1136"/>
      <c r="IR44" s="1136"/>
      <c r="IS44" s="1136"/>
      <c r="IT44" s="1136"/>
      <c r="IU44" s="1136"/>
      <c r="IV44" s="1136"/>
    </row>
    <row r="45" spans="1:256">
      <c r="A45" s="1140">
        <f>+A44+1</f>
        <v>25</v>
      </c>
      <c r="B45" s="1137" t="s">
        <v>516</v>
      </c>
      <c r="C45" s="1149">
        <f>+$H$40</f>
        <v>0</v>
      </c>
      <c r="D45" s="1149">
        <f>D44+C45</f>
        <v>0</v>
      </c>
      <c r="E45" s="1137">
        <v>31</v>
      </c>
      <c r="F45" s="964">
        <v>335</v>
      </c>
      <c r="G45" s="1150">
        <f t="shared" ref="G45:G56" si="6">F45/$F$18</f>
        <v>0.9178082191780822</v>
      </c>
      <c r="H45" s="1149">
        <f t="shared" ref="H45:H56" si="7">C45*G45</f>
        <v>0</v>
      </c>
      <c r="I45" s="1149">
        <f t="shared" ref="I45:I50" si="8">I44+H45</f>
        <v>0</v>
      </c>
      <c r="J45" s="1136"/>
      <c r="K45" s="1136"/>
      <c r="L45" s="1136"/>
      <c r="M45" s="1136"/>
      <c r="N45" s="1136"/>
      <c r="O45" s="1136"/>
      <c r="P45" s="1136"/>
      <c r="Q45" s="1136"/>
      <c r="R45" s="1136"/>
      <c r="S45" s="1136"/>
      <c r="T45" s="1136"/>
      <c r="U45" s="1136"/>
      <c r="V45" s="1136"/>
      <c r="W45" s="1136"/>
      <c r="X45" s="1136"/>
      <c r="Y45" s="1136"/>
      <c r="Z45" s="1136"/>
      <c r="AA45" s="1136"/>
      <c r="AB45" s="1136"/>
      <c r="AC45" s="1136"/>
      <c r="AD45" s="1136"/>
      <c r="AE45" s="1136"/>
      <c r="AF45" s="1136"/>
      <c r="AG45" s="1136"/>
      <c r="AH45" s="1136"/>
      <c r="AI45" s="1136"/>
      <c r="AJ45" s="1136"/>
      <c r="AK45" s="1136"/>
      <c r="AL45" s="1136"/>
      <c r="AM45" s="1136"/>
      <c r="AN45" s="1136"/>
      <c r="AO45" s="1136"/>
      <c r="AP45" s="1136"/>
      <c r="AQ45" s="1136"/>
      <c r="AR45" s="1136"/>
      <c r="AS45" s="1136"/>
      <c r="AT45" s="1136"/>
      <c r="AU45" s="1136"/>
      <c r="AV45" s="1136"/>
      <c r="AW45" s="1136"/>
      <c r="AX45" s="1136"/>
      <c r="AY45" s="1136"/>
      <c r="AZ45" s="1136"/>
      <c r="BA45" s="1136"/>
      <c r="BB45" s="1136"/>
      <c r="BC45" s="1136"/>
      <c r="BD45" s="1136"/>
      <c r="BE45" s="1136"/>
      <c r="BF45" s="1136"/>
      <c r="BG45" s="1136"/>
      <c r="BH45" s="1136"/>
      <c r="BI45" s="1136"/>
      <c r="BJ45" s="1136"/>
      <c r="BK45" s="1136"/>
      <c r="BL45" s="1136"/>
      <c r="BM45" s="1136"/>
      <c r="BN45" s="1136"/>
      <c r="BO45" s="1136"/>
      <c r="BP45" s="1136"/>
      <c r="BQ45" s="1136"/>
      <c r="BR45" s="1136"/>
      <c r="BS45" s="1136"/>
      <c r="BT45" s="1136"/>
      <c r="BU45" s="1136"/>
      <c r="BV45" s="1136"/>
      <c r="BW45" s="1136"/>
      <c r="BX45" s="1136"/>
      <c r="BY45" s="1136"/>
      <c r="BZ45" s="1136"/>
      <c r="CA45" s="1136"/>
      <c r="CB45" s="1136"/>
      <c r="CC45" s="1136"/>
      <c r="CD45" s="1136"/>
      <c r="CE45" s="1136"/>
      <c r="CF45" s="1136"/>
      <c r="CG45" s="1136"/>
      <c r="CH45" s="1136"/>
      <c r="CI45" s="1136"/>
      <c r="CJ45" s="1136"/>
      <c r="CK45" s="1136"/>
      <c r="CL45" s="1136"/>
      <c r="CM45" s="1136"/>
      <c r="CN45" s="1136"/>
      <c r="CO45" s="1136"/>
      <c r="CP45" s="1136"/>
      <c r="CQ45" s="1136"/>
      <c r="CR45" s="1136"/>
      <c r="CS45" s="1136"/>
      <c r="CT45" s="1136"/>
      <c r="CU45" s="1136"/>
      <c r="CV45" s="1136"/>
      <c r="CW45" s="1136"/>
      <c r="CX45" s="1136"/>
      <c r="CY45" s="1136"/>
      <c r="CZ45" s="1136"/>
      <c r="DA45" s="1136"/>
      <c r="DB45" s="1136"/>
      <c r="DC45" s="1136"/>
      <c r="DD45" s="1136"/>
      <c r="DE45" s="1136"/>
      <c r="DF45" s="1136"/>
      <c r="DG45" s="1136"/>
      <c r="DH45" s="1136"/>
      <c r="DI45" s="1136"/>
      <c r="DJ45" s="1136"/>
      <c r="DK45" s="1136"/>
      <c r="DL45" s="1136"/>
      <c r="DM45" s="1136"/>
      <c r="DN45" s="1136"/>
      <c r="DO45" s="1136"/>
      <c r="DP45" s="1136"/>
      <c r="DQ45" s="1136"/>
      <c r="DR45" s="1136"/>
      <c r="DS45" s="1136"/>
      <c r="DT45" s="1136"/>
      <c r="DU45" s="1136"/>
      <c r="DV45" s="1136"/>
      <c r="DW45" s="1136"/>
      <c r="DX45" s="1136"/>
      <c r="DY45" s="1136"/>
      <c r="DZ45" s="1136"/>
      <c r="EA45" s="1136"/>
      <c r="EB45" s="1136"/>
      <c r="EC45" s="1136"/>
      <c r="ED45" s="1136"/>
      <c r="EE45" s="1136"/>
      <c r="EF45" s="1136"/>
      <c r="EG45" s="1136"/>
      <c r="EH45" s="1136"/>
      <c r="EI45" s="1136"/>
      <c r="EJ45" s="1136"/>
      <c r="EK45" s="1136"/>
      <c r="EL45" s="1136"/>
      <c r="EM45" s="1136"/>
      <c r="EN45" s="1136"/>
      <c r="EO45" s="1136"/>
      <c r="EP45" s="1136"/>
      <c r="EQ45" s="1136"/>
      <c r="ER45" s="1136"/>
      <c r="ES45" s="1136"/>
      <c r="ET45" s="1136"/>
      <c r="EU45" s="1136"/>
      <c r="EV45" s="1136"/>
      <c r="EW45" s="1136"/>
      <c r="EX45" s="1136"/>
      <c r="EY45" s="1136"/>
      <c r="EZ45" s="1136"/>
      <c r="FA45" s="1136"/>
      <c r="FB45" s="1136"/>
      <c r="FC45" s="1136"/>
      <c r="FD45" s="1136"/>
      <c r="FE45" s="1136"/>
      <c r="FF45" s="1136"/>
      <c r="FG45" s="1136"/>
      <c r="FH45" s="1136"/>
      <c r="FI45" s="1136"/>
      <c r="FJ45" s="1136"/>
      <c r="FK45" s="1136"/>
      <c r="FL45" s="1136"/>
      <c r="FM45" s="1136"/>
      <c r="FN45" s="1136"/>
      <c r="FO45" s="1136"/>
      <c r="FP45" s="1136"/>
      <c r="FQ45" s="1136"/>
      <c r="FR45" s="1136"/>
      <c r="FS45" s="1136"/>
      <c r="FT45" s="1136"/>
      <c r="FU45" s="1136"/>
      <c r="FV45" s="1136"/>
      <c r="FW45" s="1136"/>
      <c r="FX45" s="1136"/>
      <c r="FY45" s="1136"/>
      <c r="FZ45" s="1136"/>
      <c r="GA45" s="1136"/>
      <c r="GB45" s="1136"/>
      <c r="GC45" s="1136"/>
      <c r="GD45" s="1136"/>
      <c r="GE45" s="1136"/>
      <c r="GF45" s="1136"/>
      <c r="GG45" s="1136"/>
      <c r="GH45" s="1136"/>
      <c r="GI45" s="1136"/>
      <c r="GJ45" s="1136"/>
      <c r="GK45" s="1136"/>
      <c r="GL45" s="1136"/>
      <c r="GM45" s="1136"/>
      <c r="GN45" s="1136"/>
      <c r="GO45" s="1136"/>
      <c r="GP45" s="1136"/>
      <c r="GQ45" s="1136"/>
      <c r="GR45" s="1136"/>
      <c r="GS45" s="1136"/>
      <c r="GT45" s="1136"/>
      <c r="GU45" s="1136"/>
      <c r="GV45" s="1136"/>
      <c r="GW45" s="1136"/>
      <c r="GX45" s="1136"/>
      <c r="GY45" s="1136"/>
      <c r="GZ45" s="1136"/>
      <c r="HA45" s="1136"/>
      <c r="HB45" s="1136"/>
      <c r="HC45" s="1136"/>
      <c r="HD45" s="1136"/>
      <c r="HE45" s="1136"/>
      <c r="HF45" s="1136"/>
      <c r="HG45" s="1136"/>
      <c r="HH45" s="1136"/>
      <c r="HI45" s="1136"/>
      <c r="HJ45" s="1136"/>
      <c r="HK45" s="1136"/>
      <c r="HL45" s="1136"/>
      <c r="HM45" s="1136"/>
      <c r="HN45" s="1136"/>
      <c r="HO45" s="1136"/>
      <c r="HP45" s="1136"/>
      <c r="HQ45" s="1136"/>
      <c r="HR45" s="1136"/>
      <c r="HS45" s="1136"/>
      <c r="HT45" s="1136"/>
      <c r="HU45" s="1136"/>
      <c r="HV45" s="1136"/>
      <c r="HW45" s="1136"/>
      <c r="HX45" s="1136"/>
      <c r="HY45" s="1136"/>
      <c r="HZ45" s="1136"/>
      <c r="IA45" s="1136"/>
      <c r="IB45" s="1136"/>
      <c r="IC45" s="1136"/>
      <c r="ID45" s="1136"/>
      <c r="IE45" s="1136"/>
      <c r="IF45" s="1136"/>
      <c r="IG45" s="1136"/>
      <c r="IH45" s="1136"/>
      <c r="II45" s="1136"/>
      <c r="IJ45" s="1136"/>
      <c r="IK45" s="1136"/>
      <c r="IL45" s="1136"/>
      <c r="IM45" s="1136"/>
      <c r="IN45" s="1136"/>
      <c r="IO45" s="1136"/>
      <c r="IP45" s="1136"/>
      <c r="IQ45" s="1136"/>
      <c r="IR45" s="1136"/>
      <c r="IS45" s="1136"/>
      <c r="IT45" s="1136"/>
      <c r="IU45" s="1136"/>
      <c r="IV45" s="1136"/>
    </row>
    <row r="46" spans="1:256">
      <c r="A46" s="1140">
        <f t="shared" ref="A46:A56" si="9">+A45+1</f>
        <v>26</v>
      </c>
      <c r="B46" s="1137" t="s">
        <v>517</v>
      </c>
      <c r="C46" s="1149">
        <f t="shared" ref="C46:C56" si="10">+$H$40</f>
        <v>0</v>
      </c>
      <c r="D46" s="1149">
        <f>D45+C46</f>
        <v>0</v>
      </c>
      <c r="E46" s="964">
        <v>28</v>
      </c>
      <c r="F46" s="964">
        <v>307</v>
      </c>
      <c r="G46" s="1150">
        <f t="shared" si="6"/>
        <v>0.84109589041095889</v>
      </c>
      <c r="H46" s="1149">
        <f t="shared" si="7"/>
        <v>0</v>
      </c>
      <c r="I46" s="1149">
        <f t="shared" si="8"/>
        <v>0</v>
      </c>
      <c r="J46" s="1136"/>
      <c r="K46" s="1136"/>
      <c r="L46" s="1136"/>
      <c r="M46" s="1136"/>
      <c r="N46" s="1136"/>
      <c r="O46" s="1136"/>
      <c r="P46" s="1136"/>
      <c r="Q46" s="1136"/>
      <c r="R46" s="1136"/>
      <c r="S46" s="1136"/>
      <c r="T46" s="1136"/>
      <c r="U46" s="1136"/>
      <c r="V46" s="1136"/>
      <c r="W46" s="1136"/>
      <c r="X46" s="1136"/>
      <c r="Y46" s="1136"/>
      <c r="Z46" s="1136"/>
      <c r="AA46" s="1136"/>
      <c r="AB46" s="1136"/>
      <c r="AC46" s="1136"/>
      <c r="AD46" s="1136"/>
      <c r="AE46" s="1136"/>
      <c r="AF46" s="1136"/>
      <c r="AG46" s="1136"/>
      <c r="AH46" s="1136"/>
      <c r="AI46" s="1136"/>
      <c r="AJ46" s="1136"/>
      <c r="AK46" s="1136"/>
      <c r="AL46" s="1136"/>
      <c r="AM46" s="1136"/>
      <c r="AN46" s="1136"/>
      <c r="AO46" s="1136"/>
      <c r="AP46" s="1136"/>
      <c r="AQ46" s="1136"/>
      <c r="AR46" s="1136"/>
      <c r="AS46" s="1136"/>
      <c r="AT46" s="1136"/>
      <c r="AU46" s="1136"/>
      <c r="AV46" s="1136"/>
      <c r="AW46" s="1136"/>
      <c r="AX46" s="1136"/>
      <c r="AY46" s="1136"/>
      <c r="AZ46" s="1136"/>
      <c r="BA46" s="1136"/>
      <c r="BB46" s="1136"/>
      <c r="BC46" s="1136"/>
      <c r="BD46" s="1136"/>
      <c r="BE46" s="1136"/>
      <c r="BF46" s="1136"/>
      <c r="BG46" s="1136"/>
      <c r="BH46" s="1136"/>
      <c r="BI46" s="1136"/>
      <c r="BJ46" s="1136"/>
      <c r="BK46" s="1136"/>
      <c r="BL46" s="1136"/>
      <c r="BM46" s="1136"/>
      <c r="BN46" s="1136"/>
      <c r="BO46" s="1136"/>
      <c r="BP46" s="1136"/>
      <c r="BQ46" s="1136"/>
      <c r="BR46" s="1136"/>
      <c r="BS46" s="1136"/>
      <c r="BT46" s="1136"/>
      <c r="BU46" s="1136"/>
      <c r="BV46" s="1136"/>
      <c r="BW46" s="1136"/>
      <c r="BX46" s="1136"/>
      <c r="BY46" s="1136"/>
      <c r="BZ46" s="1136"/>
      <c r="CA46" s="1136"/>
      <c r="CB46" s="1136"/>
      <c r="CC46" s="1136"/>
      <c r="CD46" s="1136"/>
      <c r="CE46" s="1136"/>
      <c r="CF46" s="1136"/>
      <c r="CG46" s="1136"/>
      <c r="CH46" s="1136"/>
      <c r="CI46" s="1136"/>
      <c r="CJ46" s="1136"/>
      <c r="CK46" s="1136"/>
      <c r="CL46" s="1136"/>
      <c r="CM46" s="1136"/>
      <c r="CN46" s="1136"/>
      <c r="CO46" s="1136"/>
      <c r="CP46" s="1136"/>
      <c r="CQ46" s="1136"/>
      <c r="CR46" s="1136"/>
      <c r="CS46" s="1136"/>
      <c r="CT46" s="1136"/>
      <c r="CU46" s="1136"/>
      <c r="CV46" s="1136"/>
      <c r="CW46" s="1136"/>
      <c r="CX46" s="1136"/>
      <c r="CY46" s="1136"/>
      <c r="CZ46" s="1136"/>
      <c r="DA46" s="1136"/>
      <c r="DB46" s="1136"/>
      <c r="DC46" s="1136"/>
      <c r="DD46" s="1136"/>
      <c r="DE46" s="1136"/>
      <c r="DF46" s="1136"/>
      <c r="DG46" s="1136"/>
      <c r="DH46" s="1136"/>
      <c r="DI46" s="1136"/>
      <c r="DJ46" s="1136"/>
      <c r="DK46" s="1136"/>
      <c r="DL46" s="1136"/>
      <c r="DM46" s="1136"/>
      <c r="DN46" s="1136"/>
      <c r="DO46" s="1136"/>
      <c r="DP46" s="1136"/>
      <c r="DQ46" s="1136"/>
      <c r="DR46" s="1136"/>
      <c r="DS46" s="1136"/>
      <c r="DT46" s="1136"/>
      <c r="DU46" s="1136"/>
      <c r="DV46" s="1136"/>
      <c r="DW46" s="1136"/>
      <c r="DX46" s="1136"/>
      <c r="DY46" s="1136"/>
      <c r="DZ46" s="1136"/>
      <c r="EA46" s="1136"/>
      <c r="EB46" s="1136"/>
      <c r="EC46" s="1136"/>
      <c r="ED46" s="1136"/>
      <c r="EE46" s="1136"/>
      <c r="EF46" s="1136"/>
      <c r="EG46" s="1136"/>
      <c r="EH46" s="1136"/>
      <c r="EI46" s="1136"/>
      <c r="EJ46" s="1136"/>
      <c r="EK46" s="1136"/>
      <c r="EL46" s="1136"/>
      <c r="EM46" s="1136"/>
      <c r="EN46" s="1136"/>
      <c r="EO46" s="1136"/>
      <c r="EP46" s="1136"/>
      <c r="EQ46" s="1136"/>
      <c r="ER46" s="1136"/>
      <c r="ES46" s="1136"/>
      <c r="ET46" s="1136"/>
      <c r="EU46" s="1136"/>
      <c r="EV46" s="1136"/>
      <c r="EW46" s="1136"/>
      <c r="EX46" s="1136"/>
      <c r="EY46" s="1136"/>
      <c r="EZ46" s="1136"/>
      <c r="FA46" s="1136"/>
      <c r="FB46" s="1136"/>
      <c r="FC46" s="1136"/>
      <c r="FD46" s="1136"/>
      <c r="FE46" s="1136"/>
      <c r="FF46" s="1136"/>
      <c r="FG46" s="1136"/>
      <c r="FH46" s="1136"/>
      <c r="FI46" s="1136"/>
      <c r="FJ46" s="1136"/>
      <c r="FK46" s="1136"/>
      <c r="FL46" s="1136"/>
      <c r="FM46" s="1136"/>
      <c r="FN46" s="1136"/>
      <c r="FO46" s="1136"/>
      <c r="FP46" s="1136"/>
      <c r="FQ46" s="1136"/>
      <c r="FR46" s="1136"/>
      <c r="FS46" s="1136"/>
      <c r="FT46" s="1136"/>
      <c r="FU46" s="1136"/>
      <c r="FV46" s="1136"/>
      <c r="FW46" s="1136"/>
      <c r="FX46" s="1136"/>
      <c r="FY46" s="1136"/>
      <c r="FZ46" s="1136"/>
      <c r="GA46" s="1136"/>
      <c r="GB46" s="1136"/>
      <c r="GC46" s="1136"/>
      <c r="GD46" s="1136"/>
      <c r="GE46" s="1136"/>
      <c r="GF46" s="1136"/>
      <c r="GG46" s="1136"/>
      <c r="GH46" s="1136"/>
      <c r="GI46" s="1136"/>
      <c r="GJ46" s="1136"/>
      <c r="GK46" s="1136"/>
      <c r="GL46" s="1136"/>
      <c r="GM46" s="1136"/>
      <c r="GN46" s="1136"/>
      <c r="GO46" s="1136"/>
      <c r="GP46" s="1136"/>
      <c r="GQ46" s="1136"/>
      <c r="GR46" s="1136"/>
      <c r="GS46" s="1136"/>
      <c r="GT46" s="1136"/>
      <c r="GU46" s="1136"/>
      <c r="GV46" s="1136"/>
      <c r="GW46" s="1136"/>
      <c r="GX46" s="1136"/>
      <c r="GY46" s="1136"/>
      <c r="GZ46" s="1136"/>
      <c r="HA46" s="1136"/>
      <c r="HB46" s="1136"/>
      <c r="HC46" s="1136"/>
      <c r="HD46" s="1136"/>
      <c r="HE46" s="1136"/>
      <c r="HF46" s="1136"/>
      <c r="HG46" s="1136"/>
      <c r="HH46" s="1136"/>
      <c r="HI46" s="1136"/>
      <c r="HJ46" s="1136"/>
      <c r="HK46" s="1136"/>
      <c r="HL46" s="1136"/>
      <c r="HM46" s="1136"/>
      <c r="HN46" s="1136"/>
      <c r="HO46" s="1136"/>
      <c r="HP46" s="1136"/>
      <c r="HQ46" s="1136"/>
      <c r="HR46" s="1136"/>
      <c r="HS46" s="1136"/>
      <c r="HT46" s="1136"/>
      <c r="HU46" s="1136"/>
      <c r="HV46" s="1136"/>
      <c r="HW46" s="1136"/>
      <c r="HX46" s="1136"/>
      <c r="HY46" s="1136"/>
      <c r="HZ46" s="1136"/>
      <c r="IA46" s="1136"/>
      <c r="IB46" s="1136"/>
      <c r="IC46" s="1136"/>
      <c r="ID46" s="1136"/>
      <c r="IE46" s="1136"/>
      <c r="IF46" s="1136"/>
      <c r="IG46" s="1136"/>
      <c r="IH46" s="1136"/>
      <c r="II46" s="1136"/>
      <c r="IJ46" s="1136"/>
      <c r="IK46" s="1136"/>
      <c r="IL46" s="1136"/>
      <c r="IM46" s="1136"/>
      <c r="IN46" s="1136"/>
      <c r="IO46" s="1136"/>
      <c r="IP46" s="1136"/>
      <c r="IQ46" s="1136"/>
      <c r="IR46" s="1136"/>
      <c r="IS46" s="1136"/>
      <c r="IT46" s="1136"/>
      <c r="IU46" s="1136"/>
      <c r="IV46" s="1136"/>
    </row>
    <row r="47" spans="1:256">
      <c r="A47" s="1140">
        <f t="shared" si="9"/>
        <v>27</v>
      </c>
      <c r="B47" s="1137" t="s">
        <v>325</v>
      </c>
      <c r="C47" s="1149">
        <f t="shared" si="10"/>
        <v>0</v>
      </c>
      <c r="D47" s="1149">
        <f>D46+C47</f>
        <v>0</v>
      </c>
      <c r="E47" s="1137">
        <v>31</v>
      </c>
      <c r="F47" s="964">
        <v>276</v>
      </c>
      <c r="G47" s="1150">
        <f t="shared" si="6"/>
        <v>0.75616438356164384</v>
      </c>
      <c r="H47" s="1149">
        <f t="shared" si="7"/>
        <v>0</v>
      </c>
      <c r="I47" s="1149">
        <f t="shared" si="8"/>
        <v>0</v>
      </c>
      <c r="J47" s="1136"/>
      <c r="K47" s="1136"/>
      <c r="L47" s="1136"/>
      <c r="M47" s="1136"/>
      <c r="N47" s="1136"/>
      <c r="O47" s="1136"/>
      <c r="P47" s="1136"/>
      <c r="Q47" s="1136"/>
      <c r="R47" s="1136"/>
      <c r="S47" s="1136"/>
      <c r="T47" s="1136"/>
      <c r="U47" s="1136"/>
      <c r="V47" s="1136"/>
      <c r="W47" s="1136"/>
      <c r="X47" s="1136"/>
      <c r="Y47" s="1136"/>
      <c r="Z47" s="1136"/>
      <c r="AA47" s="1136"/>
      <c r="AB47" s="1136"/>
      <c r="AC47" s="1136"/>
      <c r="AD47" s="1136"/>
      <c r="AE47" s="1136"/>
      <c r="AF47" s="1136"/>
      <c r="AG47" s="1136"/>
      <c r="AH47" s="1136"/>
      <c r="AI47" s="1136"/>
      <c r="AJ47" s="1136"/>
      <c r="AK47" s="1136"/>
      <c r="AL47" s="1136"/>
      <c r="AM47" s="1136"/>
      <c r="AN47" s="1136"/>
      <c r="AO47" s="1136"/>
      <c r="AP47" s="1136"/>
      <c r="AQ47" s="1136"/>
      <c r="AR47" s="1136"/>
      <c r="AS47" s="1136"/>
      <c r="AT47" s="1136"/>
      <c r="AU47" s="1136"/>
      <c r="AV47" s="1136"/>
      <c r="AW47" s="1136"/>
      <c r="AX47" s="1136"/>
      <c r="AY47" s="1136"/>
      <c r="AZ47" s="1136"/>
      <c r="BA47" s="1136"/>
      <c r="BB47" s="1136"/>
      <c r="BC47" s="1136"/>
      <c r="BD47" s="1136"/>
      <c r="BE47" s="1136"/>
      <c r="BF47" s="1136"/>
      <c r="BG47" s="1136"/>
      <c r="BH47" s="1136"/>
      <c r="BI47" s="1136"/>
      <c r="BJ47" s="1136"/>
      <c r="BK47" s="1136"/>
      <c r="BL47" s="1136"/>
      <c r="BM47" s="1136"/>
      <c r="BN47" s="1136"/>
      <c r="BO47" s="1136"/>
      <c r="BP47" s="1136"/>
      <c r="BQ47" s="1136"/>
      <c r="BR47" s="1136"/>
      <c r="BS47" s="1136"/>
      <c r="BT47" s="1136"/>
      <c r="BU47" s="1136"/>
      <c r="BV47" s="1136"/>
      <c r="BW47" s="1136"/>
      <c r="BX47" s="1136"/>
      <c r="BY47" s="1136"/>
      <c r="BZ47" s="1136"/>
      <c r="CA47" s="1136"/>
      <c r="CB47" s="1136"/>
      <c r="CC47" s="1136"/>
      <c r="CD47" s="1136"/>
      <c r="CE47" s="1136"/>
      <c r="CF47" s="1136"/>
      <c r="CG47" s="1136"/>
      <c r="CH47" s="1136"/>
      <c r="CI47" s="1136"/>
      <c r="CJ47" s="1136"/>
      <c r="CK47" s="1136"/>
      <c r="CL47" s="1136"/>
      <c r="CM47" s="1136"/>
      <c r="CN47" s="1136"/>
      <c r="CO47" s="1136"/>
      <c r="CP47" s="1136"/>
      <c r="CQ47" s="1136"/>
      <c r="CR47" s="1136"/>
      <c r="CS47" s="1136"/>
      <c r="CT47" s="1136"/>
      <c r="CU47" s="1136"/>
      <c r="CV47" s="1136"/>
      <c r="CW47" s="1136"/>
      <c r="CX47" s="1136"/>
      <c r="CY47" s="1136"/>
      <c r="CZ47" s="1136"/>
      <c r="DA47" s="1136"/>
      <c r="DB47" s="1136"/>
      <c r="DC47" s="1136"/>
      <c r="DD47" s="1136"/>
      <c r="DE47" s="1136"/>
      <c r="DF47" s="1136"/>
      <c r="DG47" s="1136"/>
      <c r="DH47" s="1136"/>
      <c r="DI47" s="1136"/>
      <c r="DJ47" s="1136"/>
      <c r="DK47" s="1136"/>
      <c r="DL47" s="1136"/>
      <c r="DM47" s="1136"/>
      <c r="DN47" s="1136"/>
      <c r="DO47" s="1136"/>
      <c r="DP47" s="1136"/>
      <c r="DQ47" s="1136"/>
      <c r="DR47" s="1136"/>
      <c r="DS47" s="1136"/>
      <c r="DT47" s="1136"/>
      <c r="DU47" s="1136"/>
      <c r="DV47" s="1136"/>
      <c r="DW47" s="1136"/>
      <c r="DX47" s="1136"/>
      <c r="DY47" s="1136"/>
      <c r="DZ47" s="1136"/>
      <c r="EA47" s="1136"/>
      <c r="EB47" s="1136"/>
      <c r="EC47" s="1136"/>
      <c r="ED47" s="1136"/>
      <c r="EE47" s="1136"/>
      <c r="EF47" s="1136"/>
      <c r="EG47" s="1136"/>
      <c r="EH47" s="1136"/>
      <c r="EI47" s="1136"/>
      <c r="EJ47" s="1136"/>
      <c r="EK47" s="1136"/>
      <c r="EL47" s="1136"/>
      <c r="EM47" s="1136"/>
      <c r="EN47" s="1136"/>
      <c r="EO47" s="1136"/>
      <c r="EP47" s="1136"/>
      <c r="EQ47" s="1136"/>
      <c r="ER47" s="1136"/>
      <c r="ES47" s="1136"/>
      <c r="ET47" s="1136"/>
      <c r="EU47" s="1136"/>
      <c r="EV47" s="1136"/>
      <c r="EW47" s="1136"/>
      <c r="EX47" s="1136"/>
      <c r="EY47" s="1136"/>
      <c r="EZ47" s="1136"/>
      <c r="FA47" s="1136"/>
      <c r="FB47" s="1136"/>
      <c r="FC47" s="1136"/>
      <c r="FD47" s="1136"/>
      <c r="FE47" s="1136"/>
      <c r="FF47" s="1136"/>
      <c r="FG47" s="1136"/>
      <c r="FH47" s="1136"/>
      <c r="FI47" s="1136"/>
      <c r="FJ47" s="1136"/>
      <c r="FK47" s="1136"/>
      <c r="FL47" s="1136"/>
      <c r="FM47" s="1136"/>
      <c r="FN47" s="1136"/>
      <c r="FO47" s="1136"/>
      <c r="FP47" s="1136"/>
      <c r="FQ47" s="1136"/>
      <c r="FR47" s="1136"/>
      <c r="FS47" s="1136"/>
      <c r="FT47" s="1136"/>
      <c r="FU47" s="1136"/>
      <c r="FV47" s="1136"/>
      <c r="FW47" s="1136"/>
      <c r="FX47" s="1136"/>
      <c r="FY47" s="1136"/>
      <c r="FZ47" s="1136"/>
      <c r="GA47" s="1136"/>
      <c r="GB47" s="1136"/>
      <c r="GC47" s="1136"/>
      <c r="GD47" s="1136"/>
      <c r="GE47" s="1136"/>
      <c r="GF47" s="1136"/>
      <c r="GG47" s="1136"/>
      <c r="GH47" s="1136"/>
      <c r="GI47" s="1136"/>
      <c r="GJ47" s="1136"/>
      <c r="GK47" s="1136"/>
      <c r="GL47" s="1136"/>
      <c r="GM47" s="1136"/>
      <c r="GN47" s="1136"/>
      <c r="GO47" s="1136"/>
      <c r="GP47" s="1136"/>
      <c r="GQ47" s="1136"/>
      <c r="GR47" s="1136"/>
      <c r="GS47" s="1136"/>
      <c r="GT47" s="1136"/>
      <c r="GU47" s="1136"/>
      <c r="GV47" s="1136"/>
      <c r="GW47" s="1136"/>
      <c r="GX47" s="1136"/>
      <c r="GY47" s="1136"/>
      <c r="GZ47" s="1136"/>
      <c r="HA47" s="1136"/>
      <c r="HB47" s="1136"/>
      <c r="HC47" s="1136"/>
      <c r="HD47" s="1136"/>
      <c r="HE47" s="1136"/>
      <c r="HF47" s="1136"/>
      <c r="HG47" s="1136"/>
      <c r="HH47" s="1136"/>
      <c r="HI47" s="1136"/>
      <c r="HJ47" s="1136"/>
      <c r="HK47" s="1136"/>
      <c r="HL47" s="1136"/>
      <c r="HM47" s="1136"/>
      <c r="HN47" s="1136"/>
      <c r="HO47" s="1136"/>
      <c r="HP47" s="1136"/>
      <c r="HQ47" s="1136"/>
      <c r="HR47" s="1136"/>
      <c r="HS47" s="1136"/>
      <c r="HT47" s="1136"/>
      <c r="HU47" s="1136"/>
      <c r="HV47" s="1136"/>
      <c r="HW47" s="1136"/>
      <c r="HX47" s="1136"/>
      <c r="HY47" s="1136"/>
      <c r="HZ47" s="1136"/>
      <c r="IA47" s="1136"/>
      <c r="IB47" s="1136"/>
      <c r="IC47" s="1136"/>
      <c r="ID47" s="1136"/>
      <c r="IE47" s="1136"/>
      <c r="IF47" s="1136"/>
      <c r="IG47" s="1136"/>
      <c r="IH47" s="1136"/>
      <c r="II47" s="1136"/>
      <c r="IJ47" s="1136"/>
      <c r="IK47" s="1136"/>
      <c r="IL47" s="1136"/>
      <c r="IM47" s="1136"/>
      <c r="IN47" s="1136"/>
      <c r="IO47" s="1136"/>
      <c r="IP47" s="1136"/>
      <c r="IQ47" s="1136"/>
      <c r="IR47" s="1136"/>
      <c r="IS47" s="1136"/>
      <c r="IT47" s="1136"/>
      <c r="IU47" s="1136"/>
      <c r="IV47" s="1136"/>
    </row>
    <row r="48" spans="1:256">
      <c r="A48" s="1140">
        <f t="shared" si="9"/>
        <v>28</v>
      </c>
      <c r="B48" s="1137" t="s">
        <v>326</v>
      </c>
      <c r="C48" s="1149">
        <f t="shared" si="10"/>
        <v>0</v>
      </c>
      <c r="D48" s="1149">
        <f t="shared" ref="D48:D56" si="11">D47+C48</f>
        <v>0</v>
      </c>
      <c r="E48" s="1137">
        <v>30</v>
      </c>
      <c r="F48" s="964">
        <v>246</v>
      </c>
      <c r="G48" s="1150">
        <f t="shared" si="6"/>
        <v>0.67397260273972603</v>
      </c>
      <c r="H48" s="1149">
        <f t="shared" si="7"/>
        <v>0</v>
      </c>
      <c r="I48" s="1149">
        <f t="shared" si="8"/>
        <v>0</v>
      </c>
      <c r="J48" s="1136"/>
      <c r="K48" s="1136"/>
      <c r="L48" s="1136"/>
      <c r="M48" s="1136"/>
      <c r="N48" s="1136"/>
      <c r="O48" s="1136"/>
      <c r="P48" s="1136"/>
      <c r="Q48" s="1136"/>
      <c r="R48" s="1136"/>
      <c r="S48" s="1136"/>
      <c r="T48" s="1136"/>
      <c r="U48" s="1136"/>
      <c r="V48" s="1136"/>
      <c r="W48" s="1136"/>
      <c r="X48" s="1136"/>
      <c r="Y48" s="1136"/>
      <c r="Z48" s="1136"/>
      <c r="AA48" s="1136"/>
      <c r="AB48" s="1136"/>
      <c r="AC48" s="1136"/>
      <c r="AD48" s="1136"/>
      <c r="AE48" s="1136"/>
      <c r="AF48" s="1136"/>
      <c r="AG48" s="1136"/>
      <c r="AH48" s="1136"/>
      <c r="AI48" s="1136"/>
      <c r="AJ48" s="1136"/>
      <c r="AK48" s="1136"/>
      <c r="AL48" s="1136"/>
      <c r="AM48" s="1136"/>
      <c r="AN48" s="1136"/>
      <c r="AO48" s="1136"/>
      <c r="AP48" s="1136"/>
      <c r="AQ48" s="1136"/>
      <c r="AR48" s="1136"/>
      <c r="AS48" s="1136"/>
      <c r="AT48" s="1136"/>
      <c r="AU48" s="1136"/>
      <c r="AV48" s="1136"/>
      <c r="AW48" s="1136"/>
      <c r="AX48" s="1136"/>
      <c r="AY48" s="1136"/>
      <c r="AZ48" s="1136"/>
      <c r="BA48" s="1136"/>
      <c r="BB48" s="1136"/>
      <c r="BC48" s="1136"/>
      <c r="BD48" s="1136"/>
      <c r="BE48" s="1136"/>
      <c r="BF48" s="1136"/>
      <c r="BG48" s="1136"/>
      <c r="BH48" s="1136"/>
      <c r="BI48" s="1136"/>
      <c r="BJ48" s="1136"/>
      <c r="BK48" s="1136"/>
      <c r="BL48" s="1136"/>
      <c r="BM48" s="1136"/>
      <c r="BN48" s="1136"/>
      <c r="BO48" s="1136"/>
      <c r="BP48" s="1136"/>
      <c r="BQ48" s="1136"/>
      <c r="BR48" s="1136"/>
      <c r="BS48" s="1136"/>
      <c r="BT48" s="1136"/>
      <c r="BU48" s="1136"/>
      <c r="BV48" s="1136"/>
      <c r="BW48" s="1136"/>
      <c r="BX48" s="1136"/>
      <c r="BY48" s="1136"/>
      <c r="BZ48" s="1136"/>
      <c r="CA48" s="1136"/>
      <c r="CB48" s="1136"/>
      <c r="CC48" s="1136"/>
      <c r="CD48" s="1136"/>
      <c r="CE48" s="1136"/>
      <c r="CF48" s="1136"/>
      <c r="CG48" s="1136"/>
      <c r="CH48" s="1136"/>
      <c r="CI48" s="1136"/>
      <c r="CJ48" s="1136"/>
      <c r="CK48" s="1136"/>
      <c r="CL48" s="1136"/>
      <c r="CM48" s="1136"/>
      <c r="CN48" s="1136"/>
      <c r="CO48" s="1136"/>
      <c r="CP48" s="1136"/>
      <c r="CQ48" s="1136"/>
      <c r="CR48" s="1136"/>
      <c r="CS48" s="1136"/>
      <c r="CT48" s="1136"/>
      <c r="CU48" s="1136"/>
      <c r="CV48" s="1136"/>
      <c r="CW48" s="1136"/>
      <c r="CX48" s="1136"/>
      <c r="CY48" s="1136"/>
      <c r="CZ48" s="1136"/>
      <c r="DA48" s="1136"/>
      <c r="DB48" s="1136"/>
      <c r="DC48" s="1136"/>
      <c r="DD48" s="1136"/>
      <c r="DE48" s="1136"/>
      <c r="DF48" s="1136"/>
      <c r="DG48" s="1136"/>
      <c r="DH48" s="1136"/>
      <c r="DI48" s="1136"/>
      <c r="DJ48" s="1136"/>
      <c r="DK48" s="1136"/>
      <c r="DL48" s="1136"/>
      <c r="DM48" s="1136"/>
      <c r="DN48" s="1136"/>
      <c r="DO48" s="1136"/>
      <c r="DP48" s="1136"/>
      <c r="DQ48" s="1136"/>
      <c r="DR48" s="1136"/>
      <c r="DS48" s="1136"/>
      <c r="DT48" s="1136"/>
      <c r="DU48" s="1136"/>
      <c r="DV48" s="1136"/>
      <c r="DW48" s="1136"/>
      <c r="DX48" s="1136"/>
      <c r="DY48" s="1136"/>
      <c r="DZ48" s="1136"/>
      <c r="EA48" s="1136"/>
      <c r="EB48" s="1136"/>
      <c r="EC48" s="1136"/>
      <c r="ED48" s="1136"/>
      <c r="EE48" s="1136"/>
      <c r="EF48" s="1136"/>
      <c r="EG48" s="1136"/>
      <c r="EH48" s="1136"/>
      <c r="EI48" s="1136"/>
      <c r="EJ48" s="1136"/>
      <c r="EK48" s="1136"/>
      <c r="EL48" s="1136"/>
      <c r="EM48" s="1136"/>
      <c r="EN48" s="1136"/>
      <c r="EO48" s="1136"/>
      <c r="EP48" s="1136"/>
      <c r="EQ48" s="1136"/>
      <c r="ER48" s="1136"/>
      <c r="ES48" s="1136"/>
      <c r="ET48" s="1136"/>
      <c r="EU48" s="1136"/>
      <c r="EV48" s="1136"/>
      <c r="EW48" s="1136"/>
      <c r="EX48" s="1136"/>
      <c r="EY48" s="1136"/>
      <c r="EZ48" s="1136"/>
      <c r="FA48" s="1136"/>
      <c r="FB48" s="1136"/>
      <c r="FC48" s="1136"/>
      <c r="FD48" s="1136"/>
      <c r="FE48" s="1136"/>
      <c r="FF48" s="1136"/>
      <c r="FG48" s="1136"/>
      <c r="FH48" s="1136"/>
      <c r="FI48" s="1136"/>
      <c r="FJ48" s="1136"/>
      <c r="FK48" s="1136"/>
      <c r="FL48" s="1136"/>
      <c r="FM48" s="1136"/>
      <c r="FN48" s="1136"/>
      <c r="FO48" s="1136"/>
      <c r="FP48" s="1136"/>
      <c r="FQ48" s="1136"/>
      <c r="FR48" s="1136"/>
      <c r="FS48" s="1136"/>
      <c r="FT48" s="1136"/>
      <c r="FU48" s="1136"/>
      <c r="FV48" s="1136"/>
      <c r="FW48" s="1136"/>
      <c r="FX48" s="1136"/>
      <c r="FY48" s="1136"/>
      <c r="FZ48" s="1136"/>
      <c r="GA48" s="1136"/>
      <c r="GB48" s="1136"/>
      <c r="GC48" s="1136"/>
      <c r="GD48" s="1136"/>
      <c r="GE48" s="1136"/>
      <c r="GF48" s="1136"/>
      <c r="GG48" s="1136"/>
      <c r="GH48" s="1136"/>
      <c r="GI48" s="1136"/>
      <c r="GJ48" s="1136"/>
      <c r="GK48" s="1136"/>
      <c r="GL48" s="1136"/>
      <c r="GM48" s="1136"/>
      <c r="GN48" s="1136"/>
      <c r="GO48" s="1136"/>
      <c r="GP48" s="1136"/>
      <c r="GQ48" s="1136"/>
      <c r="GR48" s="1136"/>
      <c r="GS48" s="1136"/>
      <c r="GT48" s="1136"/>
      <c r="GU48" s="1136"/>
      <c r="GV48" s="1136"/>
      <c r="GW48" s="1136"/>
      <c r="GX48" s="1136"/>
      <c r="GY48" s="1136"/>
      <c r="GZ48" s="1136"/>
      <c r="HA48" s="1136"/>
      <c r="HB48" s="1136"/>
      <c r="HC48" s="1136"/>
      <c r="HD48" s="1136"/>
      <c r="HE48" s="1136"/>
      <c r="HF48" s="1136"/>
      <c r="HG48" s="1136"/>
      <c r="HH48" s="1136"/>
      <c r="HI48" s="1136"/>
      <c r="HJ48" s="1136"/>
      <c r="HK48" s="1136"/>
      <c r="HL48" s="1136"/>
      <c r="HM48" s="1136"/>
      <c r="HN48" s="1136"/>
      <c r="HO48" s="1136"/>
      <c r="HP48" s="1136"/>
      <c r="HQ48" s="1136"/>
      <c r="HR48" s="1136"/>
      <c r="HS48" s="1136"/>
      <c r="HT48" s="1136"/>
      <c r="HU48" s="1136"/>
      <c r="HV48" s="1136"/>
      <c r="HW48" s="1136"/>
      <c r="HX48" s="1136"/>
      <c r="HY48" s="1136"/>
      <c r="HZ48" s="1136"/>
      <c r="IA48" s="1136"/>
      <c r="IB48" s="1136"/>
      <c r="IC48" s="1136"/>
      <c r="ID48" s="1136"/>
      <c r="IE48" s="1136"/>
      <c r="IF48" s="1136"/>
      <c r="IG48" s="1136"/>
      <c r="IH48" s="1136"/>
      <c r="II48" s="1136"/>
      <c r="IJ48" s="1136"/>
      <c r="IK48" s="1136"/>
      <c r="IL48" s="1136"/>
      <c r="IM48" s="1136"/>
      <c r="IN48" s="1136"/>
      <c r="IO48" s="1136"/>
      <c r="IP48" s="1136"/>
      <c r="IQ48" s="1136"/>
      <c r="IR48" s="1136"/>
      <c r="IS48" s="1136"/>
      <c r="IT48" s="1136"/>
      <c r="IU48" s="1136"/>
      <c r="IV48" s="1136"/>
    </row>
    <row r="49" spans="1:256">
      <c r="A49" s="1140">
        <f t="shared" si="9"/>
        <v>29</v>
      </c>
      <c r="B49" s="1137" t="s">
        <v>327</v>
      </c>
      <c r="C49" s="1149">
        <f t="shared" si="10"/>
        <v>0</v>
      </c>
      <c r="D49" s="1149">
        <f t="shared" si="11"/>
        <v>0</v>
      </c>
      <c r="E49" s="1137">
        <v>31</v>
      </c>
      <c r="F49" s="964">
        <v>215</v>
      </c>
      <c r="G49" s="1150">
        <f t="shared" si="6"/>
        <v>0.58904109589041098</v>
      </c>
      <c r="H49" s="1149">
        <f t="shared" si="7"/>
        <v>0</v>
      </c>
      <c r="I49" s="1149">
        <f t="shared" si="8"/>
        <v>0</v>
      </c>
      <c r="J49" s="1136"/>
      <c r="K49" s="1136"/>
      <c r="L49" s="1136"/>
      <c r="M49" s="1136"/>
      <c r="N49" s="1136"/>
      <c r="O49" s="1136"/>
      <c r="P49" s="1136"/>
      <c r="Q49" s="1136"/>
      <c r="R49" s="1136"/>
      <c r="S49" s="1136"/>
      <c r="T49" s="1136"/>
      <c r="U49" s="1136"/>
      <c r="V49" s="1136"/>
      <c r="W49" s="1136"/>
      <c r="X49" s="1136"/>
      <c r="Y49" s="1136"/>
      <c r="Z49" s="1136"/>
      <c r="AA49" s="1136"/>
      <c r="AB49" s="1136"/>
      <c r="AC49" s="1136"/>
      <c r="AD49" s="1136"/>
      <c r="AE49" s="1136"/>
      <c r="AF49" s="1136"/>
      <c r="AG49" s="1136"/>
      <c r="AH49" s="1136"/>
      <c r="AI49" s="1136"/>
      <c r="AJ49" s="1136"/>
      <c r="AK49" s="1136"/>
      <c r="AL49" s="1136"/>
      <c r="AM49" s="1136"/>
      <c r="AN49" s="1136"/>
      <c r="AO49" s="1136"/>
      <c r="AP49" s="1136"/>
      <c r="AQ49" s="1136"/>
      <c r="AR49" s="1136"/>
      <c r="AS49" s="1136"/>
      <c r="AT49" s="1136"/>
      <c r="AU49" s="1136"/>
      <c r="AV49" s="1136"/>
      <c r="AW49" s="1136"/>
      <c r="AX49" s="1136"/>
      <c r="AY49" s="1136"/>
      <c r="AZ49" s="1136"/>
      <c r="BA49" s="1136"/>
      <c r="BB49" s="1136"/>
      <c r="BC49" s="1136"/>
      <c r="BD49" s="1136"/>
      <c r="BE49" s="1136"/>
      <c r="BF49" s="1136"/>
      <c r="BG49" s="1136"/>
      <c r="BH49" s="1136"/>
      <c r="BI49" s="1136"/>
      <c r="BJ49" s="1136"/>
      <c r="BK49" s="1136"/>
      <c r="BL49" s="1136"/>
      <c r="BM49" s="1136"/>
      <c r="BN49" s="1136"/>
      <c r="BO49" s="1136"/>
      <c r="BP49" s="1136"/>
      <c r="BQ49" s="1136"/>
      <c r="BR49" s="1136"/>
      <c r="BS49" s="1136"/>
      <c r="BT49" s="1136"/>
      <c r="BU49" s="1136"/>
      <c r="BV49" s="1136"/>
      <c r="BW49" s="1136"/>
      <c r="BX49" s="1136"/>
      <c r="BY49" s="1136"/>
      <c r="BZ49" s="1136"/>
      <c r="CA49" s="1136"/>
      <c r="CB49" s="1136"/>
      <c r="CC49" s="1136"/>
      <c r="CD49" s="1136"/>
      <c r="CE49" s="1136"/>
      <c r="CF49" s="1136"/>
      <c r="CG49" s="1136"/>
      <c r="CH49" s="1136"/>
      <c r="CI49" s="1136"/>
      <c r="CJ49" s="1136"/>
      <c r="CK49" s="1136"/>
      <c r="CL49" s="1136"/>
      <c r="CM49" s="1136"/>
      <c r="CN49" s="1136"/>
      <c r="CO49" s="1136"/>
      <c r="CP49" s="1136"/>
      <c r="CQ49" s="1136"/>
      <c r="CR49" s="1136"/>
      <c r="CS49" s="1136"/>
      <c r="CT49" s="1136"/>
      <c r="CU49" s="1136"/>
      <c r="CV49" s="1136"/>
      <c r="CW49" s="1136"/>
      <c r="CX49" s="1136"/>
      <c r="CY49" s="1136"/>
      <c r="CZ49" s="1136"/>
      <c r="DA49" s="1136"/>
      <c r="DB49" s="1136"/>
      <c r="DC49" s="1136"/>
      <c r="DD49" s="1136"/>
      <c r="DE49" s="1136"/>
      <c r="DF49" s="1136"/>
      <c r="DG49" s="1136"/>
      <c r="DH49" s="1136"/>
      <c r="DI49" s="1136"/>
      <c r="DJ49" s="1136"/>
      <c r="DK49" s="1136"/>
      <c r="DL49" s="1136"/>
      <c r="DM49" s="1136"/>
      <c r="DN49" s="1136"/>
      <c r="DO49" s="1136"/>
      <c r="DP49" s="1136"/>
      <c r="DQ49" s="1136"/>
      <c r="DR49" s="1136"/>
      <c r="DS49" s="1136"/>
      <c r="DT49" s="1136"/>
      <c r="DU49" s="1136"/>
      <c r="DV49" s="1136"/>
      <c r="DW49" s="1136"/>
      <c r="DX49" s="1136"/>
      <c r="DY49" s="1136"/>
      <c r="DZ49" s="1136"/>
      <c r="EA49" s="1136"/>
      <c r="EB49" s="1136"/>
      <c r="EC49" s="1136"/>
      <c r="ED49" s="1136"/>
      <c r="EE49" s="1136"/>
      <c r="EF49" s="1136"/>
      <c r="EG49" s="1136"/>
      <c r="EH49" s="1136"/>
      <c r="EI49" s="1136"/>
      <c r="EJ49" s="1136"/>
      <c r="EK49" s="1136"/>
      <c r="EL49" s="1136"/>
      <c r="EM49" s="1136"/>
      <c r="EN49" s="1136"/>
      <c r="EO49" s="1136"/>
      <c r="EP49" s="1136"/>
      <c r="EQ49" s="1136"/>
      <c r="ER49" s="1136"/>
      <c r="ES49" s="1136"/>
      <c r="ET49" s="1136"/>
      <c r="EU49" s="1136"/>
      <c r="EV49" s="1136"/>
      <c r="EW49" s="1136"/>
      <c r="EX49" s="1136"/>
      <c r="EY49" s="1136"/>
      <c r="EZ49" s="1136"/>
      <c r="FA49" s="1136"/>
      <c r="FB49" s="1136"/>
      <c r="FC49" s="1136"/>
      <c r="FD49" s="1136"/>
      <c r="FE49" s="1136"/>
      <c r="FF49" s="1136"/>
      <c r="FG49" s="1136"/>
      <c r="FH49" s="1136"/>
      <c r="FI49" s="1136"/>
      <c r="FJ49" s="1136"/>
      <c r="FK49" s="1136"/>
      <c r="FL49" s="1136"/>
      <c r="FM49" s="1136"/>
      <c r="FN49" s="1136"/>
      <c r="FO49" s="1136"/>
      <c r="FP49" s="1136"/>
      <c r="FQ49" s="1136"/>
      <c r="FR49" s="1136"/>
      <c r="FS49" s="1136"/>
      <c r="FT49" s="1136"/>
      <c r="FU49" s="1136"/>
      <c r="FV49" s="1136"/>
      <c r="FW49" s="1136"/>
      <c r="FX49" s="1136"/>
      <c r="FY49" s="1136"/>
      <c r="FZ49" s="1136"/>
      <c r="GA49" s="1136"/>
      <c r="GB49" s="1136"/>
      <c r="GC49" s="1136"/>
      <c r="GD49" s="1136"/>
      <c r="GE49" s="1136"/>
      <c r="GF49" s="1136"/>
      <c r="GG49" s="1136"/>
      <c r="GH49" s="1136"/>
      <c r="GI49" s="1136"/>
      <c r="GJ49" s="1136"/>
      <c r="GK49" s="1136"/>
      <c r="GL49" s="1136"/>
      <c r="GM49" s="1136"/>
      <c r="GN49" s="1136"/>
      <c r="GO49" s="1136"/>
      <c r="GP49" s="1136"/>
      <c r="GQ49" s="1136"/>
      <c r="GR49" s="1136"/>
      <c r="GS49" s="1136"/>
      <c r="GT49" s="1136"/>
      <c r="GU49" s="1136"/>
      <c r="GV49" s="1136"/>
      <c r="GW49" s="1136"/>
      <c r="GX49" s="1136"/>
      <c r="GY49" s="1136"/>
      <c r="GZ49" s="1136"/>
      <c r="HA49" s="1136"/>
      <c r="HB49" s="1136"/>
      <c r="HC49" s="1136"/>
      <c r="HD49" s="1136"/>
      <c r="HE49" s="1136"/>
      <c r="HF49" s="1136"/>
      <c r="HG49" s="1136"/>
      <c r="HH49" s="1136"/>
      <c r="HI49" s="1136"/>
      <c r="HJ49" s="1136"/>
      <c r="HK49" s="1136"/>
      <c r="HL49" s="1136"/>
      <c r="HM49" s="1136"/>
      <c r="HN49" s="1136"/>
      <c r="HO49" s="1136"/>
      <c r="HP49" s="1136"/>
      <c r="HQ49" s="1136"/>
      <c r="HR49" s="1136"/>
      <c r="HS49" s="1136"/>
      <c r="HT49" s="1136"/>
      <c r="HU49" s="1136"/>
      <c r="HV49" s="1136"/>
      <c r="HW49" s="1136"/>
      <c r="HX49" s="1136"/>
      <c r="HY49" s="1136"/>
      <c r="HZ49" s="1136"/>
      <c r="IA49" s="1136"/>
      <c r="IB49" s="1136"/>
      <c r="IC49" s="1136"/>
      <c r="ID49" s="1136"/>
      <c r="IE49" s="1136"/>
      <c r="IF49" s="1136"/>
      <c r="IG49" s="1136"/>
      <c r="IH49" s="1136"/>
      <c r="II49" s="1136"/>
      <c r="IJ49" s="1136"/>
      <c r="IK49" s="1136"/>
      <c r="IL49" s="1136"/>
      <c r="IM49" s="1136"/>
      <c r="IN49" s="1136"/>
      <c r="IO49" s="1136"/>
      <c r="IP49" s="1136"/>
      <c r="IQ49" s="1136"/>
      <c r="IR49" s="1136"/>
      <c r="IS49" s="1136"/>
      <c r="IT49" s="1136"/>
      <c r="IU49" s="1136"/>
      <c r="IV49" s="1136"/>
    </row>
    <row r="50" spans="1:256">
      <c r="A50" s="1140">
        <f t="shared" si="9"/>
        <v>30</v>
      </c>
      <c r="B50" s="1137" t="s">
        <v>48</v>
      </c>
      <c r="C50" s="1149">
        <f t="shared" si="10"/>
        <v>0</v>
      </c>
      <c r="D50" s="1149">
        <f t="shared" si="11"/>
        <v>0</v>
      </c>
      <c r="E50" s="1137">
        <v>30</v>
      </c>
      <c r="F50" s="964">
        <v>185</v>
      </c>
      <c r="G50" s="1150">
        <f t="shared" si="6"/>
        <v>0.50684931506849318</v>
      </c>
      <c r="H50" s="1149">
        <f t="shared" si="7"/>
        <v>0</v>
      </c>
      <c r="I50" s="1149">
        <f t="shared" si="8"/>
        <v>0</v>
      </c>
      <c r="J50" s="1136"/>
      <c r="K50" s="1136"/>
      <c r="L50" s="1136"/>
      <c r="M50" s="1136"/>
      <c r="N50" s="1136"/>
      <c r="O50" s="1136"/>
      <c r="P50" s="1136"/>
      <c r="Q50" s="1136"/>
      <c r="R50" s="1136"/>
      <c r="S50" s="1136"/>
      <c r="T50" s="1136"/>
      <c r="U50" s="1136"/>
      <c r="V50" s="1136"/>
      <c r="W50" s="1136"/>
      <c r="X50" s="1136"/>
      <c r="Y50" s="1136"/>
      <c r="Z50" s="1136"/>
      <c r="AA50" s="1136"/>
      <c r="AB50" s="1136"/>
      <c r="AC50" s="1136"/>
      <c r="AD50" s="1136"/>
      <c r="AE50" s="1136"/>
      <c r="AF50" s="1136"/>
      <c r="AG50" s="1136"/>
      <c r="AH50" s="1136"/>
      <c r="AI50" s="1136"/>
      <c r="AJ50" s="1136"/>
      <c r="AK50" s="1136"/>
      <c r="AL50" s="1136"/>
      <c r="AM50" s="1136"/>
      <c r="AN50" s="1136"/>
      <c r="AO50" s="1136"/>
      <c r="AP50" s="1136"/>
      <c r="AQ50" s="1136"/>
      <c r="AR50" s="1136"/>
      <c r="AS50" s="1136"/>
      <c r="AT50" s="1136"/>
      <c r="AU50" s="1136"/>
      <c r="AV50" s="1136"/>
      <c r="AW50" s="1136"/>
      <c r="AX50" s="1136"/>
      <c r="AY50" s="1136"/>
      <c r="AZ50" s="1136"/>
      <c r="BA50" s="1136"/>
      <c r="BB50" s="1136"/>
      <c r="BC50" s="1136"/>
      <c r="BD50" s="1136"/>
      <c r="BE50" s="1136"/>
      <c r="BF50" s="1136"/>
      <c r="BG50" s="1136"/>
      <c r="BH50" s="1136"/>
      <c r="BI50" s="1136"/>
      <c r="BJ50" s="1136"/>
      <c r="BK50" s="1136"/>
      <c r="BL50" s="1136"/>
      <c r="BM50" s="1136"/>
      <c r="BN50" s="1136"/>
      <c r="BO50" s="1136"/>
      <c r="BP50" s="1136"/>
      <c r="BQ50" s="1136"/>
      <c r="BR50" s="1136"/>
      <c r="BS50" s="1136"/>
      <c r="BT50" s="1136"/>
      <c r="BU50" s="1136"/>
      <c r="BV50" s="1136"/>
      <c r="BW50" s="1136"/>
      <c r="BX50" s="1136"/>
      <c r="BY50" s="1136"/>
      <c r="BZ50" s="1136"/>
      <c r="CA50" s="1136"/>
      <c r="CB50" s="1136"/>
      <c r="CC50" s="1136"/>
      <c r="CD50" s="1136"/>
      <c r="CE50" s="1136"/>
      <c r="CF50" s="1136"/>
      <c r="CG50" s="1136"/>
      <c r="CH50" s="1136"/>
      <c r="CI50" s="1136"/>
      <c r="CJ50" s="1136"/>
      <c r="CK50" s="1136"/>
      <c r="CL50" s="1136"/>
      <c r="CM50" s="1136"/>
      <c r="CN50" s="1136"/>
      <c r="CO50" s="1136"/>
      <c r="CP50" s="1136"/>
      <c r="CQ50" s="1136"/>
      <c r="CR50" s="1136"/>
      <c r="CS50" s="1136"/>
      <c r="CT50" s="1136"/>
      <c r="CU50" s="1136"/>
      <c r="CV50" s="1136"/>
      <c r="CW50" s="1136"/>
      <c r="CX50" s="1136"/>
      <c r="CY50" s="1136"/>
      <c r="CZ50" s="1136"/>
      <c r="DA50" s="1136"/>
      <c r="DB50" s="1136"/>
      <c r="DC50" s="1136"/>
      <c r="DD50" s="1136"/>
      <c r="DE50" s="1136"/>
      <c r="DF50" s="1136"/>
      <c r="DG50" s="1136"/>
      <c r="DH50" s="1136"/>
      <c r="DI50" s="1136"/>
      <c r="DJ50" s="1136"/>
      <c r="DK50" s="1136"/>
      <c r="DL50" s="1136"/>
      <c r="DM50" s="1136"/>
      <c r="DN50" s="1136"/>
      <c r="DO50" s="1136"/>
      <c r="DP50" s="1136"/>
      <c r="DQ50" s="1136"/>
      <c r="DR50" s="1136"/>
      <c r="DS50" s="1136"/>
      <c r="DT50" s="1136"/>
      <c r="DU50" s="1136"/>
      <c r="DV50" s="1136"/>
      <c r="DW50" s="1136"/>
      <c r="DX50" s="1136"/>
      <c r="DY50" s="1136"/>
      <c r="DZ50" s="1136"/>
      <c r="EA50" s="1136"/>
      <c r="EB50" s="1136"/>
      <c r="EC50" s="1136"/>
      <c r="ED50" s="1136"/>
      <c r="EE50" s="1136"/>
      <c r="EF50" s="1136"/>
      <c r="EG50" s="1136"/>
      <c r="EH50" s="1136"/>
      <c r="EI50" s="1136"/>
      <c r="EJ50" s="1136"/>
      <c r="EK50" s="1136"/>
      <c r="EL50" s="1136"/>
      <c r="EM50" s="1136"/>
      <c r="EN50" s="1136"/>
      <c r="EO50" s="1136"/>
      <c r="EP50" s="1136"/>
      <c r="EQ50" s="1136"/>
      <c r="ER50" s="1136"/>
      <c r="ES50" s="1136"/>
      <c r="ET50" s="1136"/>
      <c r="EU50" s="1136"/>
      <c r="EV50" s="1136"/>
      <c r="EW50" s="1136"/>
      <c r="EX50" s="1136"/>
      <c r="EY50" s="1136"/>
      <c r="EZ50" s="1136"/>
      <c r="FA50" s="1136"/>
      <c r="FB50" s="1136"/>
      <c r="FC50" s="1136"/>
      <c r="FD50" s="1136"/>
      <c r="FE50" s="1136"/>
      <c r="FF50" s="1136"/>
      <c r="FG50" s="1136"/>
      <c r="FH50" s="1136"/>
      <c r="FI50" s="1136"/>
      <c r="FJ50" s="1136"/>
      <c r="FK50" s="1136"/>
      <c r="FL50" s="1136"/>
      <c r="FM50" s="1136"/>
      <c r="FN50" s="1136"/>
      <c r="FO50" s="1136"/>
      <c r="FP50" s="1136"/>
      <c r="FQ50" s="1136"/>
      <c r="FR50" s="1136"/>
      <c r="FS50" s="1136"/>
      <c r="FT50" s="1136"/>
      <c r="FU50" s="1136"/>
      <c r="FV50" s="1136"/>
      <c r="FW50" s="1136"/>
      <c r="FX50" s="1136"/>
      <c r="FY50" s="1136"/>
      <c r="FZ50" s="1136"/>
      <c r="GA50" s="1136"/>
      <c r="GB50" s="1136"/>
      <c r="GC50" s="1136"/>
      <c r="GD50" s="1136"/>
      <c r="GE50" s="1136"/>
      <c r="GF50" s="1136"/>
      <c r="GG50" s="1136"/>
      <c r="GH50" s="1136"/>
      <c r="GI50" s="1136"/>
      <c r="GJ50" s="1136"/>
      <c r="GK50" s="1136"/>
      <c r="GL50" s="1136"/>
      <c r="GM50" s="1136"/>
      <c r="GN50" s="1136"/>
      <c r="GO50" s="1136"/>
      <c r="GP50" s="1136"/>
      <c r="GQ50" s="1136"/>
      <c r="GR50" s="1136"/>
      <c r="GS50" s="1136"/>
      <c r="GT50" s="1136"/>
      <c r="GU50" s="1136"/>
      <c r="GV50" s="1136"/>
      <c r="GW50" s="1136"/>
      <c r="GX50" s="1136"/>
      <c r="GY50" s="1136"/>
      <c r="GZ50" s="1136"/>
      <c r="HA50" s="1136"/>
      <c r="HB50" s="1136"/>
      <c r="HC50" s="1136"/>
      <c r="HD50" s="1136"/>
      <c r="HE50" s="1136"/>
      <c r="HF50" s="1136"/>
      <c r="HG50" s="1136"/>
      <c r="HH50" s="1136"/>
      <c r="HI50" s="1136"/>
      <c r="HJ50" s="1136"/>
      <c r="HK50" s="1136"/>
      <c r="HL50" s="1136"/>
      <c r="HM50" s="1136"/>
      <c r="HN50" s="1136"/>
      <c r="HO50" s="1136"/>
      <c r="HP50" s="1136"/>
      <c r="HQ50" s="1136"/>
      <c r="HR50" s="1136"/>
      <c r="HS50" s="1136"/>
      <c r="HT50" s="1136"/>
      <c r="HU50" s="1136"/>
      <c r="HV50" s="1136"/>
      <c r="HW50" s="1136"/>
      <c r="HX50" s="1136"/>
      <c r="HY50" s="1136"/>
      <c r="HZ50" s="1136"/>
      <c r="IA50" s="1136"/>
      <c r="IB50" s="1136"/>
      <c r="IC50" s="1136"/>
      <c r="ID50" s="1136"/>
      <c r="IE50" s="1136"/>
      <c r="IF50" s="1136"/>
      <c r="IG50" s="1136"/>
      <c r="IH50" s="1136"/>
      <c r="II50" s="1136"/>
      <c r="IJ50" s="1136"/>
      <c r="IK50" s="1136"/>
      <c r="IL50" s="1136"/>
      <c r="IM50" s="1136"/>
      <c r="IN50" s="1136"/>
      <c r="IO50" s="1136"/>
      <c r="IP50" s="1136"/>
      <c r="IQ50" s="1136"/>
      <c r="IR50" s="1136"/>
      <c r="IS50" s="1136"/>
      <c r="IT50" s="1136"/>
      <c r="IU50" s="1136"/>
      <c r="IV50" s="1136"/>
    </row>
    <row r="51" spans="1:256">
      <c r="A51" s="1140">
        <f t="shared" si="9"/>
        <v>31</v>
      </c>
      <c r="B51" s="1137" t="s">
        <v>328</v>
      </c>
      <c r="C51" s="1149">
        <f t="shared" si="10"/>
        <v>0</v>
      </c>
      <c r="D51" s="1149">
        <f t="shared" si="11"/>
        <v>0</v>
      </c>
      <c r="E51" s="1137">
        <v>31</v>
      </c>
      <c r="F51" s="964">
        <v>154</v>
      </c>
      <c r="G51" s="1150">
        <f t="shared" si="6"/>
        <v>0.42191780821917807</v>
      </c>
      <c r="H51" s="1149">
        <f t="shared" si="7"/>
        <v>0</v>
      </c>
      <c r="I51" s="1149">
        <f t="shared" ref="I51:I56" si="12">I50+H51</f>
        <v>0</v>
      </c>
      <c r="J51" s="1136"/>
      <c r="K51" s="1136"/>
      <c r="L51" s="1136"/>
      <c r="M51" s="1136"/>
      <c r="N51" s="1136"/>
      <c r="O51" s="1136"/>
      <c r="P51" s="1136"/>
      <c r="Q51" s="1136"/>
      <c r="R51" s="1136"/>
      <c r="S51" s="1136"/>
      <c r="T51" s="1136"/>
      <c r="U51" s="1136"/>
      <c r="V51" s="1136"/>
      <c r="W51" s="1136"/>
      <c r="X51" s="1136"/>
      <c r="Y51" s="1136"/>
      <c r="Z51" s="1136"/>
      <c r="AA51" s="1136"/>
      <c r="AB51" s="1136"/>
      <c r="AC51" s="1136"/>
      <c r="AD51" s="1136"/>
      <c r="AE51" s="1136"/>
      <c r="AF51" s="1136"/>
      <c r="AG51" s="1136"/>
      <c r="AH51" s="1136"/>
      <c r="AI51" s="1136"/>
      <c r="AJ51" s="1136"/>
      <c r="AK51" s="1136"/>
      <c r="AL51" s="1136"/>
      <c r="AM51" s="1136"/>
      <c r="AN51" s="1136"/>
      <c r="AO51" s="1136"/>
      <c r="AP51" s="1136"/>
      <c r="AQ51" s="1136"/>
      <c r="AR51" s="1136"/>
      <c r="AS51" s="1136"/>
      <c r="AT51" s="1136"/>
      <c r="AU51" s="1136"/>
      <c r="AV51" s="1136"/>
      <c r="AW51" s="1136"/>
      <c r="AX51" s="1136"/>
      <c r="AY51" s="1136"/>
      <c r="AZ51" s="1136"/>
      <c r="BA51" s="1136"/>
      <c r="BB51" s="1136"/>
      <c r="BC51" s="1136"/>
      <c r="BD51" s="1136"/>
      <c r="BE51" s="1136"/>
      <c r="BF51" s="1136"/>
      <c r="BG51" s="1136"/>
      <c r="BH51" s="1136"/>
      <c r="BI51" s="1136"/>
      <c r="BJ51" s="1136"/>
      <c r="BK51" s="1136"/>
      <c r="BL51" s="1136"/>
      <c r="BM51" s="1136"/>
      <c r="BN51" s="1136"/>
      <c r="BO51" s="1136"/>
      <c r="BP51" s="1136"/>
      <c r="BQ51" s="1136"/>
      <c r="BR51" s="1136"/>
      <c r="BS51" s="1136"/>
      <c r="BT51" s="1136"/>
      <c r="BU51" s="1136"/>
      <c r="BV51" s="1136"/>
      <c r="BW51" s="1136"/>
      <c r="BX51" s="1136"/>
      <c r="BY51" s="1136"/>
      <c r="BZ51" s="1136"/>
      <c r="CA51" s="1136"/>
      <c r="CB51" s="1136"/>
      <c r="CC51" s="1136"/>
      <c r="CD51" s="1136"/>
      <c r="CE51" s="1136"/>
      <c r="CF51" s="1136"/>
      <c r="CG51" s="1136"/>
      <c r="CH51" s="1136"/>
      <c r="CI51" s="1136"/>
      <c r="CJ51" s="1136"/>
      <c r="CK51" s="1136"/>
      <c r="CL51" s="1136"/>
      <c r="CM51" s="1136"/>
      <c r="CN51" s="1136"/>
      <c r="CO51" s="1136"/>
      <c r="CP51" s="1136"/>
      <c r="CQ51" s="1136"/>
      <c r="CR51" s="1136"/>
      <c r="CS51" s="1136"/>
      <c r="CT51" s="1136"/>
      <c r="CU51" s="1136"/>
      <c r="CV51" s="1136"/>
      <c r="CW51" s="1136"/>
      <c r="CX51" s="1136"/>
      <c r="CY51" s="1136"/>
      <c r="CZ51" s="1136"/>
      <c r="DA51" s="1136"/>
      <c r="DB51" s="1136"/>
      <c r="DC51" s="1136"/>
      <c r="DD51" s="1136"/>
      <c r="DE51" s="1136"/>
      <c r="DF51" s="1136"/>
      <c r="DG51" s="1136"/>
      <c r="DH51" s="1136"/>
      <c r="DI51" s="1136"/>
      <c r="DJ51" s="1136"/>
      <c r="DK51" s="1136"/>
      <c r="DL51" s="1136"/>
      <c r="DM51" s="1136"/>
      <c r="DN51" s="1136"/>
      <c r="DO51" s="1136"/>
      <c r="DP51" s="1136"/>
      <c r="DQ51" s="1136"/>
      <c r="DR51" s="1136"/>
      <c r="DS51" s="1136"/>
      <c r="DT51" s="1136"/>
      <c r="DU51" s="1136"/>
      <c r="DV51" s="1136"/>
      <c r="DW51" s="1136"/>
      <c r="DX51" s="1136"/>
      <c r="DY51" s="1136"/>
      <c r="DZ51" s="1136"/>
      <c r="EA51" s="1136"/>
      <c r="EB51" s="1136"/>
      <c r="EC51" s="1136"/>
      <c r="ED51" s="1136"/>
      <c r="EE51" s="1136"/>
      <c r="EF51" s="1136"/>
      <c r="EG51" s="1136"/>
      <c r="EH51" s="1136"/>
      <c r="EI51" s="1136"/>
      <c r="EJ51" s="1136"/>
      <c r="EK51" s="1136"/>
      <c r="EL51" s="1136"/>
      <c r="EM51" s="1136"/>
      <c r="EN51" s="1136"/>
      <c r="EO51" s="1136"/>
      <c r="EP51" s="1136"/>
      <c r="EQ51" s="1136"/>
      <c r="ER51" s="1136"/>
      <c r="ES51" s="1136"/>
      <c r="ET51" s="1136"/>
      <c r="EU51" s="1136"/>
      <c r="EV51" s="1136"/>
      <c r="EW51" s="1136"/>
      <c r="EX51" s="1136"/>
      <c r="EY51" s="1136"/>
      <c r="EZ51" s="1136"/>
      <c r="FA51" s="1136"/>
      <c r="FB51" s="1136"/>
      <c r="FC51" s="1136"/>
      <c r="FD51" s="1136"/>
      <c r="FE51" s="1136"/>
      <c r="FF51" s="1136"/>
      <c r="FG51" s="1136"/>
      <c r="FH51" s="1136"/>
      <c r="FI51" s="1136"/>
      <c r="FJ51" s="1136"/>
      <c r="FK51" s="1136"/>
      <c r="FL51" s="1136"/>
      <c r="FM51" s="1136"/>
      <c r="FN51" s="1136"/>
      <c r="FO51" s="1136"/>
      <c r="FP51" s="1136"/>
      <c r="FQ51" s="1136"/>
      <c r="FR51" s="1136"/>
      <c r="FS51" s="1136"/>
      <c r="FT51" s="1136"/>
      <c r="FU51" s="1136"/>
      <c r="FV51" s="1136"/>
      <c r="FW51" s="1136"/>
      <c r="FX51" s="1136"/>
      <c r="FY51" s="1136"/>
      <c r="FZ51" s="1136"/>
      <c r="GA51" s="1136"/>
      <c r="GB51" s="1136"/>
      <c r="GC51" s="1136"/>
      <c r="GD51" s="1136"/>
      <c r="GE51" s="1136"/>
      <c r="GF51" s="1136"/>
      <c r="GG51" s="1136"/>
      <c r="GH51" s="1136"/>
      <c r="GI51" s="1136"/>
      <c r="GJ51" s="1136"/>
      <c r="GK51" s="1136"/>
      <c r="GL51" s="1136"/>
      <c r="GM51" s="1136"/>
      <c r="GN51" s="1136"/>
      <c r="GO51" s="1136"/>
      <c r="GP51" s="1136"/>
      <c r="GQ51" s="1136"/>
      <c r="GR51" s="1136"/>
      <c r="GS51" s="1136"/>
      <c r="GT51" s="1136"/>
      <c r="GU51" s="1136"/>
      <c r="GV51" s="1136"/>
      <c r="GW51" s="1136"/>
      <c r="GX51" s="1136"/>
      <c r="GY51" s="1136"/>
      <c r="GZ51" s="1136"/>
      <c r="HA51" s="1136"/>
      <c r="HB51" s="1136"/>
      <c r="HC51" s="1136"/>
      <c r="HD51" s="1136"/>
      <c r="HE51" s="1136"/>
      <c r="HF51" s="1136"/>
      <c r="HG51" s="1136"/>
      <c r="HH51" s="1136"/>
      <c r="HI51" s="1136"/>
      <c r="HJ51" s="1136"/>
      <c r="HK51" s="1136"/>
      <c r="HL51" s="1136"/>
      <c r="HM51" s="1136"/>
      <c r="HN51" s="1136"/>
      <c r="HO51" s="1136"/>
      <c r="HP51" s="1136"/>
      <c r="HQ51" s="1136"/>
      <c r="HR51" s="1136"/>
      <c r="HS51" s="1136"/>
      <c r="HT51" s="1136"/>
      <c r="HU51" s="1136"/>
      <c r="HV51" s="1136"/>
      <c r="HW51" s="1136"/>
      <c r="HX51" s="1136"/>
      <c r="HY51" s="1136"/>
      <c r="HZ51" s="1136"/>
      <c r="IA51" s="1136"/>
      <c r="IB51" s="1136"/>
      <c r="IC51" s="1136"/>
      <c r="ID51" s="1136"/>
      <c r="IE51" s="1136"/>
      <c r="IF51" s="1136"/>
      <c r="IG51" s="1136"/>
      <c r="IH51" s="1136"/>
      <c r="II51" s="1136"/>
      <c r="IJ51" s="1136"/>
      <c r="IK51" s="1136"/>
      <c r="IL51" s="1136"/>
      <c r="IM51" s="1136"/>
      <c r="IN51" s="1136"/>
      <c r="IO51" s="1136"/>
      <c r="IP51" s="1136"/>
      <c r="IQ51" s="1136"/>
      <c r="IR51" s="1136"/>
      <c r="IS51" s="1136"/>
      <c r="IT51" s="1136"/>
      <c r="IU51" s="1136"/>
      <c r="IV51" s="1136"/>
    </row>
    <row r="52" spans="1:256">
      <c r="A52" s="1140">
        <f t="shared" si="9"/>
        <v>32</v>
      </c>
      <c r="B52" s="1137" t="s">
        <v>329</v>
      </c>
      <c r="C52" s="1149">
        <f t="shared" si="10"/>
        <v>0</v>
      </c>
      <c r="D52" s="1149">
        <f t="shared" si="11"/>
        <v>0</v>
      </c>
      <c r="E52" s="1137">
        <v>31</v>
      </c>
      <c r="F52" s="964">
        <v>123</v>
      </c>
      <c r="G52" s="1150">
        <f t="shared" si="6"/>
        <v>0.33698630136986302</v>
      </c>
      <c r="H52" s="1149">
        <f t="shared" si="7"/>
        <v>0</v>
      </c>
      <c r="I52" s="1149">
        <f t="shared" si="12"/>
        <v>0</v>
      </c>
      <c r="J52" s="1136"/>
      <c r="K52" s="1136"/>
      <c r="L52" s="1136"/>
      <c r="M52" s="1136"/>
      <c r="N52" s="1136"/>
      <c r="O52" s="1136"/>
      <c r="P52" s="1136"/>
      <c r="Q52" s="1136"/>
      <c r="R52" s="1136"/>
      <c r="S52" s="1136"/>
      <c r="T52" s="1136"/>
      <c r="U52" s="1136"/>
      <c r="V52" s="1136"/>
      <c r="W52" s="1136"/>
      <c r="X52" s="1136"/>
      <c r="Y52" s="1136"/>
      <c r="Z52" s="1136"/>
      <c r="AA52" s="1136"/>
      <c r="AB52" s="1136"/>
      <c r="AC52" s="1136"/>
      <c r="AD52" s="1136"/>
      <c r="AE52" s="1136"/>
      <c r="AF52" s="1136"/>
      <c r="AG52" s="1136"/>
      <c r="AH52" s="1136"/>
      <c r="AI52" s="1136"/>
      <c r="AJ52" s="1136"/>
      <c r="AK52" s="1136"/>
      <c r="AL52" s="1136"/>
      <c r="AM52" s="1136"/>
      <c r="AN52" s="1136"/>
      <c r="AO52" s="1136"/>
      <c r="AP52" s="1136"/>
      <c r="AQ52" s="1136"/>
      <c r="AR52" s="1136"/>
      <c r="AS52" s="1136"/>
      <c r="AT52" s="1136"/>
      <c r="AU52" s="1136"/>
      <c r="AV52" s="1136"/>
      <c r="AW52" s="1136"/>
      <c r="AX52" s="1136"/>
      <c r="AY52" s="1136"/>
      <c r="AZ52" s="1136"/>
      <c r="BA52" s="1136"/>
      <c r="BB52" s="1136"/>
      <c r="BC52" s="1136"/>
      <c r="BD52" s="1136"/>
      <c r="BE52" s="1136"/>
      <c r="BF52" s="1136"/>
      <c r="BG52" s="1136"/>
      <c r="BH52" s="1136"/>
      <c r="BI52" s="1136"/>
      <c r="BJ52" s="1136"/>
      <c r="BK52" s="1136"/>
      <c r="BL52" s="1136"/>
      <c r="BM52" s="1136"/>
      <c r="BN52" s="1136"/>
      <c r="BO52" s="1136"/>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c r="DD52" s="1136"/>
      <c r="DE52" s="1136"/>
      <c r="DF52" s="1136"/>
      <c r="DG52" s="1136"/>
      <c r="DH52" s="1136"/>
      <c r="DI52" s="1136"/>
      <c r="DJ52" s="1136"/>
      <c r="DK52" s="1136"/>
      <c r="DL52" s="1136"/>
      <c r="DM52" s="1136"/>
      <c r="DN52" s="1136"/>
      <c r="DO52" s="1136"/>
      <c r="DP52" s="1136"/>
      <c r="DQ52" s="1136"/>
      <c r="DR52" s="1136"/>
      <c r="DS52" s="1136"/>
      <c r="DT52" s="1136"/>
      <c r="DU52" s="1136"/>
      <c r="DV52" s="1136"/>
      <c r="DW52" s="1136"/>
      <c r="DX52" s="1136"/>
      <c r="DY52" s="1136"/>
      <c r="DZ52" s="1136"/>
      <c r="EA52" s="1136"/>
      <c r="EB52" s="1136"/>
      <c r="EC52" s="1136"/>
      <c r="ED52" s="1136"/>
      <c r="EE52" s="1136"/>
      <c r="EF52" s="1136"/>
      <c r="EG52" s="1136"/>
      <c r="EH52" s="1136"/>
      <c r="EI52" s="1136"/>
      <c r="EJ52" s="1136"/>
      <c r="EK52" s="1136"/>
      <c r="EL52" s="1136"/>
      <c r="EM52" s="1136"/>
      <c r="EN52" s="1136"/>
      <c r="EO52" s="1136"/>
      <c r="EP52" s="1136"/>
      <c r="EQ52" s="1136"/>
      <c r="ER52" s="1136"/>
      <c r="ES52" s="1136"/>
      <c r="ET52" s="1136"/>
      <c r="EU52" s="1136"/>
      <c r="EV52" s="1136"/>
      <c r="EW52" s="1136"/>
      <c r="EX52" s="1136"/>
      <c r="EY52" s="1136"/>
      <c r="EZ52" s="1136"/>
      <c r="FA52" s="1136"/>
      <c r="FB52" s="1136"/>
      <c r="FC52" s="1136"/>
      <c r="FD52" s="1136"/>
      <c r="FE52" s="1136"/>
      <c r="FF52" s="1136"/>
      <c r="FG52" s="1136"/>
      <c r="FH52" s="1136"/>
      <c r="FI52" s="1136"/>
      <c r="FJ52" s="1136"/>
      <c r="FK52" s="1136"/>
      <c r="FL52" s="1136"/>
      <c r="FM52" s="1136"/>
      <c r="FN52" s="1136"/>
      <c r="FO52" s="1136"/>
      <c r="FP52" s="1136"/>
      <c r="FQ52" s="1136"/>
      <c r="FR52" s="1136"/>
      <c r="FS52" s="1136"/>
      <c r="FT52" s="1136"/>
      <c r="FU52" s="1136"/>
      <c r="FV52" s="1136"/>
      <c r="FW52" s="1136"/>
      <c r="FX52" s="1136"/>
      <c r="FY52" s="1136"/>
      <c r="FZ52" s="1136"/>
      <c r="GA52" s="1136"/>
      <c r="GB52" s="1136"/>
      <c r="GC52" s="1136"/>
      <c r="GD52" s="1136"/>
      <c r="GE52" s="1136"/>
      <c r="GF52" s="1136"/>
      <c r="GG52" s="1136"/>
      <c r="GH52" s="1136"/>
      <c r="GI52" s="1136"/>
      <c r="GJ52" s="1136"/>
      <c r="GK52" s="1136"/>
      <c r="GL52" s="1136"/>
      <c r="GM52" s="1136"/>
      <c r="GN52" s="1136"/>
      <c r="GO52" s="1136"/>
      <c r="GP52" s="1136"/>
      <c r="GQ52" s="1136"/>
      <c r="GR52" s="1136"/>
      <c r="GS52" s="1136"/>
      <c r="GT52" s="1136"/>
      <c r="GU52" s="1136"/>
      <c r="GV52" s="1136"/>
      <c r="GW52" s="1136"/>
      <c r="GX52" s="1136"/>
      <c r="GY52" s="1136"/>
      <c r="GZ52" s="1136"/>
      <c r="HA52" s="1136"/>
      <c r="HB52" s="1136"/>
      <c r="HC52" s="1136"/>
      <c r="HD52" s="1136"/>
      <c r="HE52" s="1136"/>
      <c r="HF52" s="1136"/>
      <c r="HG52" s="1136"/>
      <c r="HH52" s="1136"/>
      <c r="HI52" s="1136"/>
      <c r="HJ52" s="1136"/>
      <c r="HK52" s="1136"/>
      <c r="HL52" s="1136"/>
      <c r="HM52" s="1136"/>
      <c r="HN52" s="1136"/>
      <c r="HO52" s="1136"/>
      <c r="HP52" s="1136"/>
      <c r="HQ52" s="1136"/>
      <c r="HR52" s="1136"/>
      <c r="HS52" s="1136"/>
      <c r="HT52" s="1136"/>
      <c r="HU52" s="1136"/>
      <c r="HV52" s="1136"/>
      <c r="HW52" s="1136"/>
      <c r="HX52" s="1136"/>
      <c r="HY52" s="1136"/>
      <c r="HZ52" s="1136"/>
      <c r="IA52" s="1136"/>
      <c r="IB52" s="1136"/>
      <c r="IC52" s="1136"/>
      <c r="ID52" s="1136"/>
      <c r="IE52" s="1136"/>
      <c r="IF52" s="1136"/>
      <c r="IG52" s="1136"/>
      <c r="IH52" s="1136"/>
      <c r="II52" s="1136"/>
      <c r="IJ52" s="1136"/>
      <c r="IK52" s="1136"/>
      <c r="IL52" s="1136"/>
      <c r="IM52" s="1136"/>
      <c r="IN52" s="1136"/>
      <c r="IO52" s="1136"/>
      <c r="IP52" s="1136"/>
      <c r="IQ52" s="1136"/>
      <c r="IR52" s="1136"/>
      <c r="IS52" s="1136"/>
      <c r="IT52" s="1136"/>
      <c r="IU52" s="1136"/>
      <c r="IV52" s="1136"/>
    </row>
    <row r="53" spans="1:256">
      <c r="A53" s="1140">
        <f t="shared" si="9"/>
        <v>33</v>
      </c>
      <c r="B53" s="1137" t="s">
        <v>331</v>
      </c>
      <c r="C53" s="1149">
        <f t="shared" si="10"/>
        <v>0</v>
      </c>
      <c r="D53" s="1149">
        <f t="shared" si="11"/>
        <v>0</v>
      </c>
      <c r="E53" s="1137">
        <v>30</v>
      </c>
      <c r="F53" s="964">
        <v>93</v>
      </c>
      <c r="G53" s="1150">
        <f t="shared" si="6"/>
        <v>0.25479452054794521</v>
      </c>
      <c r="H53" s="1149">
        <f t="shared" si="7"/>
        <v>0</v>
      </c>
      <c r="I53" s="1149">
        <f t="shared" si="12"/>
        <v>0</v>
      </c>
      <c r="J53" s="1136"/>
      <c r="K53" s="1136"/>
      <c r="L53" s="1136"/>
      <c r="M53" s="1136"/>
      <c r="N53" s="1136"/>
      <c r="O53" s="1136"/>
      <c r="P53" s="1136"/>
      <c r="Q53" s="1136"/>
      <c r="R53" s="1136"/>
      <c r="S53" s="1136"/>
      <c r="T53" s="1136"/>
      <c r="U53" s="1136"/>
      <c r="V53" s="1136"/>
      <c r="W53" s="1136"/>
      <c r="X53" s="1136"/>
      <c r="Y53" s="1136"/>
      <c r="Z53" s="1136"/>
      <c r="AA53" s="1136"/>
      <c r="AB53" s="1136"/>
      <c r="AC53" s="1136"/>
      <c r="AD53" s="1136"/>
      <c r="AE53" s="1136"/>
      <c r="AF53" s="1136"/>
      <c r="AG53" s="1136"/>
      <c r="AH53" s="1136"/>
      <c r="AI53" s="1136"/>
      <c r="AJ53" s="1136"/>
      <c r="AK53" s="1136"/>
      <c r="AL53" s="1136"/>
      <c r="AM53" s="1136"/>
      <c r="AN53" s="1136"/>
      <c r="AO53" s="1136"/>
      <c r="AP53" s="1136"/>
      <c r="AQ53" s="1136"/>
      <c r="AR53" s="1136"/>
      <c r="AS53" s="1136"/>
      <c r="AT53" s="1136"/>
      <c r="AU53" s="1136"/>
      <c r="AV53" s="1136"/>
      <c r="AW53" s="1136"/>
      <c r="AX53" s="1136"/>
      <c r="AY53" s="1136"/>
      <c r="AZ53" s="1136"/>
      <c r="BA53" s="1136"/>
      <c r="BB53" s="1136"/>
      <c r="BC53" s="1136"/>
      <c r="BD53" s="1136"/>
      <c r="BE53" s="1136"/>
      <c r="BF53" s="1136"/>
      <c r="BG53" s="1136"/>
      <c r="BH53" s="1136"/>
      <c r="BI53" s="1136"/>
      <c r="BJ53" s="1136"/>
      <c r="BK53" s="1136"/>
      <c r="BL53" s="1136"/>
      <c r="BM53" s="1136"/>
      <c r="BN53" s="1136"/>
      <c r="BO53" s="1136"/>
      <c r="BP53" s="1136"/>
      <c r="BQ53" s="1136"/>
      <c r="BR53" s="1136"/>
      <c r="BS53" s="1136"/>
      <c r="BT53" s="1136"/>
      <c r="BU53" s="1136"/>
      <c r="BV53" s="1136"/>
      <c r="BW53" s="1136"/>
      <c r="BX53" s="1136"/>
      <c r="BY53" s="1136"/>
      <c r="BZ53" s="1136"/>
      <c r="CA53" s="1136"/>
      <c r="CB53" s="1136"/>
      <c r="CC53" s="1136"/>
      <c r="CD53" s="1136"/>
      <c r="CE53" s="1136"/>
      <c r="CF53" s="1136"/>
      <c r="CG53" s="1136"/>
      <c r="CH53" s="1136"/>
      <c r="CI53" s="1136"/>
      <c r="CJ53" s="1136"/>
      <c r="CK53" s="1136"/>
      <c r="CL53" s="1136"/>
      <c r="CM53" s="1136"/>
      <c r="CN53" s="1136"/>
      <c r="CO53" s="1136"/>
      <c r="CP53" s="1136"/>
      <c r="CQ53" s="1136"/>
      <c r="CR53" s="1136"/>
      <c r="CS53" s="1136"/>
      <c r="CT53" s="1136"/>
      <c r="CU53" s="1136"/>
      <c r="CV53" s="1136"/>
      <c r="CW53" s="1136"/>
      <c r="CX53" s="1136"/>
      <c r="CY53" s="1136"/>
      <c r="CZ53" s="1136"/>
      <c r="DA53" s="1136"/>
      <c r="DB53" s="1136"/>
      <c r="DC53" s="1136"/>
      <c r="DD53" s="1136"/>
      <c r="DE53" s="1136"/>
      <c r="DF53" s="1136"/>
      <c r="DG53" s="1136"/>
      <c r="DH53" s="1136"/>
      <c r="DI53" s="1136"/>
      <c r="DJ53" s="1136"/>
      <c r="DK53" s="1136"/>
      <c r="DL53" s="1136"/>
      <c r="DM53" s="1136"/>
      <c r="DN53" s="1136"/>
      <c r="DO53" s="1136"/>
      <c r="DP53" s="1136"/>
      <c r="DQ53" s="1136"/>
      <c r="DR53" s="1136"/>
      <c r="DS53" s="1136"/>
      <c r="DT53" s="1136"/>
      <c r="DU53" s="1136"/>
      <c r="DV53" s="1136"/>
      <c r="DW53" s="1136"/>
      <c r="DX53" s="1136"/>
      <c r="DY53" s="1136"/>
      <c r="DZ53" s="1136"/>
      <c r="EA53" s="1136"/>
      <c r="EB53" s="1136"/>
      <c r="EC53" s="1136"/>
      <c r="ED53" s="1136"/>
      <c r="EE53" s="1136"/>
      <c r="EF53" s="1136"/>
      <c r="EG53" s="1136"/>
      <c r="EH53" s="1136"/>
      <c r="EI53" s="1136"/>
      <c r="EJ53" s="1136"/>
      <c r="EK53" s="1136"/>
      <c r="EL53" s="1136"/>
      <c r="EM53" s="1136"/>
      <c r="EN53" s="1136"/>
      <c r="EO53" s="1136"/>
      <c r="EP53" s="1136"/>
      <c r="EQ53" s="1136"/>
      <c r="ER53" s="1136"/>
      <c r="ES53" s="1136"/>
      <c r="ET53" s="1136"/>
      <c r="EU53" s="1136"/>
      <c r="EV53" s="1136"/>
      <c r="EW53" s="1136"/>
      <c r="EX53" s="1136"/>
      <c r="EY53" s="1136"/>
      <c r="EZ53" s="1136"/>
      <c r="FA53" s="1136"/>
      <c r="FB53" s="1136"/>
      <c r="FC53" s="1136"/>
      <c r="FD53" s="1136"/>
      <c r="FE53" s="1136"/>
      <c r="FF53" s="1136"/>
      <c r="FG53" s="1136"/>
      <c r="FH53" s="1136"/>
      <c r="FI53" s="1136"/>
      <c r="FJ53" s="1136"/>
      <c r="FK53" s="1136"/>
      <c r="FL53" s="1136"/>
      <c r="FM53" s="1136"/>
      <c r="FN53" s="1136"/>
      <c r="FO53" s="1136"/>
      <c r="FP53" s="1136"/>
      <c r="FQ53" s="1136"/>
      <c r="FR53" s="1136"/>
      <c r="FS53" s="1136"/>
      <c r="FT53" s="1136"/>
      <c r="FU53" s="1136"/>
      <c r="FV53" s="1136"/>
      <c r="FW53" s="1136"/>
      <c r="FX53" s="1136"/>
      <c r="FY53" s="1136"/>
      <c r="FZ53" s="1136"/>
      <c r="GA53" s="1136"/>
      <c r="GB53" s="1136"/>
      <c r="GC53" s="1136"/>
      <c r="GD53" s="1136"/>
      <c r="GE53" s="1136"/>
      <c r="GF53" s="1136"/>
      <c r="GG53" s="1136"/>
      <c r="GH53" s="1136"/>
      <c r="GI53" s="1136"/>
      <c r="GJ53" s="1136"/>
      <c r="GK53" s="1136"/>
      <c r="GL53" s="1136"/>
      <c r="GM53" s="1136"/>
      <c r="GN53" s="1136"/>
      <c r="GO53" s="1136"/>
      <c r="GP53" s="1136"/>
      <c r="GQ53" s="1136"/>
      <c r="GR53" s="1136"/>
      <c r="GS53" s="1136"/>
      <c r="GT53" s="1136"/>
      <c r="GU53" s="1136"/>
      <c r="GV53" s="1136"/>
      <c r="GW53" s="1136"/>
      <c r="GX53" s="1136"/>
      <c r="GY53" s="1136"/>
      <c r="GZ53" s="1136"/>
      <c r="HA53" s="1136"/>
      <c r="HB53" s="1136"/>
      <c r="HC53" s="1136"/>
      <c r="HD53" s="1136"/>
      <c r="HE53" s="1136"/>
      <c r="HF53" s="1136"/>
      <c r="HG53" s="1136"/>
      <c r="HH53" s="1136"/>
      <c r="HI53" s="1136"/>
      <c r="HJ53" s="1136"/>
      <c r="HK53" s="1136"/>
      <c r="HL53" s="1136"/>
      <c r="HM53" s="1136"/>
      <c r="HN53" s="1136"/>
      <c r="HO53" s="1136"/>
      <c r="HP53" s="1136"/>
      <c r="HQ53" s="1136"/>
      <c r="HR53" s="1136"/>
      <c r="HS53" s="1136"/>
      <c r="HT53" s="1136"/>
      <c r="HU53" s="1136"/>
      <c r="HV53" s="1136"/>
      <c r="HW53" s="1136"/>
      <c r="HX53" s="1136"/>
      <c r="HY53" s="1136"/>
      <c r="HZ53" s="1136"/>
      <c r="IA53" s="1136"/>
      <c r="IB53" s="1136"/>
      <c r="IC53" s="1136"/>
      <c r="ID53" s="1136"/>
      <c r="IE53" s="1136"/>
      <c r="IF53" s="1136"/>
      <c r="IG53" s="1136"/>
      <c r="IH53" s="1136"/>
      <c r="II53" s="1136"/>
      <c r="IJ53" s="1136"/>
      <c r="IK53" s="1136"/>
      <c r="IL53" s="1136"/>
      <c r="IM53" s="1136"/>
      <c r="IN53" s="1136"/>
      <c r="IO53" s="1136"/>
      <c r="IP53" s="1136"/>
      <c r="IQ53" s="1136"/>
      <c r="IR53" s="1136"/>
      <c r="IS53" s="1136"/>
      <c r="IT53" s="1136"/>
      <c r="IU53" s="1136"/>
      <c r="IV53" s="1136"/>
    </row>
    <row r="54" spans="1:256">
      <c r="A54" s="1140">
        <f t="shared" si="9"/>
        <v>34</v>
      </c>
      <c r="B54" s="1137" t="s">
        <v>518</v>
      </c>
      <c r="C54" s="1149">
        <f t="shared" si="10"/>
        <v>0</v>
      </c>
      <c r="D54" s="1149">
        <f t="shared" si="11"/>
        <v>0</v>
      </c>
      <c r="E54" s="1137">
        <v>31</v>
      </c>
      <c r="F54" s="964">
        <v>62</v>
      </c>
      <c r="G54" s="1150">
        <f t="shared" si="6"/>
        <v>0.16986301369863013</v>
      </c>
      <c r="H54" s="1149">
        <f t="shared" si="7"/>
        <v>0</v>
      </c>
      <c r="I54" s="1149">
        <f t="shared" si="12"/>
        <v>0</v>
      </c>
      <c r="J54" s="1136"/>
      <c r="K54" s="1136"/>
      <c r="L54" s="1136"/>
      <c r="M54" s="1136"/>
      <c r="N54" s="1136"/>
      <c r="O54" s="1136"/>
      <c r="P54" s="1136"/>
      <c r="Q54" s="1136"/>
      <c r="R54" s="1136"/>
      <c r="S54" s="1136"/>
      <c r="T54" s="1136"/>
      <c r="U54" s="1136"/>
      <c r="V54" s="1136"/>
      <c r="W54" s="1136"/>
      <c r="X54" s="1136"/>
      <c r="Y54" s="1136"/>
      <c r="Z54" s="1136"/>
      <c r="AA54" s="1136"/>
      <c r="AB54" s="1136"/>
      <c r="AC54" s="1136"/>
      <c r="AD54" s="1136"/>
      <c r="AE54" s="1136"/>
      <c r="AF54" s="1136"/>
      <c r="AG54" s="1136"/>
      <c r="AH54" s="1136"/>
      <c r="AI54" s="1136"/>
      <c r="AJ54" s="1136"/>
      <c r="AK54" s="1136"/>
      <c r="AL54" s="1136"/>
      <c r="AM54" s="1136"/>
      <c r="AN54" s="1136"/>
      <c r="AO54" s="1136"/>
      <c r="AP54" s="1136"/>
      <c r="AQ54" s="1136"/>
      <c r="AR54" s="1136"/>
      <c r="AS54" s="1136"/>
      <c r="AT54" s="1136"/>
      <c r="AU54" s="1136"/>
      <c r="AV54" s="1136"/>
      <c r="AW54" s="1136"/>
      <c r="AX54" s="1136"/>
      <c r="AY54" s="1136"/>
      <c r="AZ54" s="1136"/>
      <c r="BA54" s="1136"/>
      <c r="BB54" s="1136"/>
      <c r="BC54" s="1136"/>
      <c r="BD54" s="1136"/>
      <c r="BE54" s="1136"/>
      <c r="BF54" s="1136"/>
      <c r="BG54" s="1136"/>
      <c r="BH54" s="1136"/>
      <c r="BI54" s="1136"/>
      <c r="BJ54" s="1136"/>
      <c r="BK54" s="1136"/>
      <c r="BL54" s="1136"/>
      <c r="BM54" s="1136"/>
      <c r="BN54" s="1136"/>
      <c r="BO54" s="1136"/>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c r="DD54" s="1136"/>
      <c r="DE54" s="1136"/>
      <c r="DF54" s="1136"/>
      <c r="DG54" s="1136"/>
      <c r="DH54" s="1136"/>
      <c r="DI54" s="1136"/>
      <c r="DJ54" s="1136"/>
      <c r="DK54" s="1136"/>
      <c r="DL54" s="1136"/>
      <c r="DM54" s="1136"/>
      <c r="DN54" s="1136"/>
      <c r="DO54" s="1136"/>
      <c r="DP54" s="1136"/>
      <c r="DQ54" s="1136"/>
      <c r="DR54" s="1136"/>
      <c r="DS54" s="1136"/>
      <c r="DT54" s="1136"/>
      <c r="DU54" s="1136"/>
      <c r="DV54" s="1136"/>
      <c r="DW54" s="1136"/>
      <c r="DX54" s="1136"/>
      <c r="DY54" s="1136"/>
      <c r="DZ54" s="1136"/>
      <c r="EA54" s="1136"/>
      <c r="EB54" s="1136"/>
      <c r="EC54" s="1136"/>
      <c r="ED54" s="1136"/>
      <c r="EE54" s="1136"/>
      <c r="EF54" s="1136"/>
      <c r="EG54" s="1136"/>
      <c r="EH54" s="1136"/>
      <c r="EI54" s="1136"/>
      <c r="EJ54" s="1136"/>
      <c r="EK54" s="1136"/>
      <c r="EL54" s="1136"/>
      <c r="EM54" s="1136"/>
      <c r="EN54" s="1136"/>
      <c r="EO54" s="1136"/>
      <c r="EP54" s="1136"/>
      <c r="EQ54" s="1136"/>
      <c r="ER54" s="1136"/>
      <c r="ES54" s="1136"/>
      <c r="ET54" s="1136"/>
      <c r="EU54" s="1136"/>
      <c r="EV54" s="1136"/>
      <c r="EW54" s="1136"/>
      <c r="EX54" s="1136"/>
      <c r="EY54" s="1136"/>
      <c r="EZ54" s="1136"/>
      <c r="FA54" s="1136"/>
      <c r="FB54" s="1136"/>
      <c r="FC54" s="1136"/>
      <c r="FD54" s="1136"/>
      <c r="FE54" s="1136"/>
      <c r="FF54" s="1136"/>
      <c r="FG54" s="1136"/>
      <c r="FH54" s="1136"/>
      <c r="FI54" s="1136"/>
      <c r="FJ54" s="1136"/>
      <c r="FK54" s="1136"/>
      <c r="FL54" s="1136"/>
      <c r="FM54" s="1136"/>
      <c r="FN54" s="1136"/>
      <c r="FO54" s="1136"/>
      <c r="FP54" s="1136"/>
      <c r="FQ54" s="1136"/>
      <c r="FR54" s="1136"/>
      <c r="FS54" s="1136"/>
      <c r="FT54" s="1136"/>
      <c r="FU54" s="1136"/>
      <c r="FV54" s="1136"/>
      <c r="FW54" s="1136"/>
      <c r="FX54" s="1136"/>
      <c r="FY54" s="1136"/>
      <c r="FZ54" s="1136"/>
      <c r="GA54" s="1136"/>
      <c r="GB54" s="1136"/>
      <c r="GC54" s="1136"/>
      <c r="GD54" s="1136"/>
      <c r="GE54" s="1136"/>
      <c r="GF54" s="1136"/>
      <c r="GG54" s="1136"/>
      <c r="GH54" s="1136"/>
      <c r="GI54" s="1136"/>
      <c r="GJ54" s="1136"/>
      <c r="GK54" s="1136"/>
      <c r="GL54" s="1136"/>
      <c r="GM54" s="1136"/>
      <c r="GN54" s="1136"/>
      <c r="GO54" s="1136"/>
      <c r="GP54" s="1136"/>
      <c r="GQ54" s="1136"/>
      <c r="GR54" s="1136"/>
      <c r="GS54" s="1136"/>
      <c r="GT54" s="1136"/>
      <c r="GU54" s="1136"/>
      <c r="GV54" s="1136"/>
      <c r="GW54" s="1136"/>
      <c r="GX54" s="1136"/>
      <c r="GY54" s="1136"/>
      <c r="GZ54" s="1136"/>
      <c r="HA54" s="1136"/>
      <c r="HB54" s="1136"/>
      <c r="HC54" s="1136"/>
      <c r="HD54" s="1136"/>
      <c r="HE54" s="1136"/>
      <c r="HF54" s="1136"/>
      <c r="HG54" s="1136"/>
      <c r="HH54" s="1136"/>
      <c r="HI54" s="1136"/>
      <c r="HJ54" s="1136"/>
      <c r="HK54" s="1136"/>
      <c r="HL54" s="1136"/>
      <c r="HM54" s="1136"/>
      <c r="HN54" s="1136"/>
      <c r="HO54" s="1136"/>
      <c r="HP54" s="1136"/>
      <c r="HQ54" s="1136"/>
      <c r="HR54" s="1136"/>
      <c r="HS54" s="1136"/>
      <c r="HT54" s="1136"/>
      <c r="HU54" s="1136"/>
      <c r="HV54" s="1136"/>
      <c r="HW54" s="1136"/>
      <c r="HX54" s="1136"/>
      <c r="HY54" s="1136"/>
      <c r="HZ54" s="1136"/>
      <c r="IA54" s="1136"/>
      <c r="IB54" s="1136"/>
      <c r="IC54" s="1136"/>
      <c r="ID54" s="1136"/>
      <c r="IE54" s="1136"/>
      <c r="IF54" s="1136"/>
      <c r="IG54" s="1136"/>
      <c r="IH54" s="1136"/>
      <c r="II54" s="1136"/>
      <c r="IJ54" s="1136"/>
      <c r="IK54" s="1136"/>
      <c r="IL54" s="1136"/>
      <c r="IM54" s="1136"/>
      <c r="IN54" s="1136"/>
      <c r="IO54" s="1136"/>
      <c r="IP54" s="1136"/>
      <c r="IQ54" s="1136"/>
      <c r="IR54" s="1136"/>
      <c r="IS54" s="1136"/>
      <c r="IT54" s="1136"/>
      <c r="IU54" s="1136"/>
      <c r="IV54" s="1136"/>
    </row>
    <row r="55" spans="1:256">
      <c r="A55" s="1140">
        <f t="shared" si="9"/>
        <v>35</v>
      </c>
      <c r="B55" s="1137" t="s">
        <v>519</v>
      </c>
      <c r="C55" s="1149">
        <f t="shared" si="10"/>
        <v>0</v>
      </c>
      <c r="D55" s="1149">
        <f t="shared" si="11"/>
        <v>0</v>
      </c>
      <c r="E55" s="1137">
        <v>30</v>
      </c>
      <c r="F55" s="964">
        <v>32</v>
      </c>
      <c r="G55" s="1150">
        <f t="shared" si="6"/>
        <v>8.7671232876712329E-2</v>
      </c>
      <c r="H55" s="1149">
        <f t="shared" si="7"/>
        <v>0</v>
      </c>
      <c r="I55" s="1149">
        <f t="shared" si="12"/>
        <v>0</v>
      </c>
      <c r="J55" s="1136"/>
      <c r="K55" s="1136"/>
      <c r="L55" s="1136"/>
      <c r="M55" s="1136"/>
      <c r="N55" s="1136"/>
      <c r="O55" s="1136"/>
      <c r="P55" s="1136"/>
      <c r="Q55" s="1136"/>
      <c r="R55" s="1136"/>
      <c r="S55" s="1136"/>
      <c r="T55" s="1136"/>
      <c r="U55" s="1136"/>
      <c r="V55" s="1136"/>
      <c r="W55" s="1136"/>
      <c r="X55" s="1136"/>
      <c r="Y55" s="1136"/>
      <c r="Z55" s="1136"/>
      <c r="AA55" s="1136"/>
      <c r="AB55" s="1136"/>
      <c r="AC55" s="1136"/>
      <c r="AD55" s="1136"/>
      <c r="AE55" s="1136"/>
      <c r="AF55" s="1136"/>
      <c r="AG55" s="1136"/>
      <c r="AH55" s="1136"/>
      <c r="AI55" s="1136"/>
      <c r="AJ55" s="1136"/>
      <c r="AK55" s="1136"/>
      <c r="AL55" s="1136"/>
      <c r="AM55" s="1136"/>
      <c r="AN55" s="1136"/>
      <c r="AO55" s="1136"/>
      <c r="AP55" s="1136"/>
      <c r="AQ55" s="1136"/>
      <c r="AR55" s="1136"/>
      <c r="AS55" s="1136"/>
      <c r="AT55" s="1136"/>
      <c r="AU55" s="1136"/>
      <c r="AV55" s="1136"/>
      <c r="AW55" s="1136"/>
      <c r="AX55" s="1136"/>
      <c r="AY55" s="1136"/>
      <c r="AZ55" s="1136"/>
      <c r="BA55" s="1136"/>
      <c r="BB55" s="1136"/>
      <c r="BC55" s="1136"/>
      <c r="BD55" s="1136"/>
      <c r="BE55" s="1136"/>
      <c r="BF55" s="1136"/>
      <c r="BG55" s="1136"/>
      <c r="BH55" s="1136"/>
      <c r="BI55" s="1136"/>
      <c r="BJ55" s="1136"/>
      <c r="BK55" s="1136"/>
      <c r="BL55" s="1136"/>
      <c r="BM55" s="1136"/>
      <c r="BN55" s="1136"/>
      <c r="BO55" s="1136"/>
      <c r="BP55" s="1136"/>
      <c r="BQ55" s="1136"/>
      <c r="BR55" s="1136"/>
      <c r="BS55" s="1136"/>
      <c r="BT55" s="1136"/>
      <c r="BU55" s="1136"/>
      <c r="BV55" s="1136"/>
      <c r="BW55" s="1136"/>
      <c r="BX55" s="1136"/>
      <c r="BY55" s="1136"/>
      <c r="BZ55" s="1136"/>
      <c r="CA55" s="1136"/>
      <c r="CB55" s="1136"/>
      <c r="CC55" s="1136"/>
      <c r="CD55" s="1136"/>
      <c r="CE55" s="1136"/>
      <c r="CF55" s="1136"/>
      <c r="CG55" s="1136"/>
      <c r="CH55" s="1136"/>
      <c r="CI55" s="1136"/>
      <c r="CJ55" s="1136"/>
      <c r="CK55" s="1136"/>
      <c r="CL55" s="1136"/>
      <c r="CM55" s="1136"/>
      <c r="CN55" s="1136"/>
      <c r="CO55" s="1136"/>
      <c r="CP55" s="1136"/>
      <c r="CQ55" s="1136"/>
      <c r="CR55" s="1136"/>
      <c r="CS55" s="1136"/>
      <c r="CT55" s="1136"/>
      <c r="CU55" s="1136"/>
      <c r="CV55" s="1136"/>
      <c r="CW55" s="1136"/>
      <c r="CX55" s="1136"/>
      <c r="CY55" s="1136"/>
      <c r="CZ55" s="1136"/>
      <c r="DA55" s="1136"/>
      <c r="DB55" s="1136"/>
      <c r="DC55" s="1136"/>
      <c r="DD55" s="1136"/>
      <c r="DE55" s="1136"/>
      <c r="DF55" s="1136"/>
      <c r="DG55" s="1136"/>
      <c r="DH55" s="1136"/>
      <c r="DI55" s="1136"/>
      <c r="DJ55" s="1136"/>
      <c r="DK55" s="1136"/>
      <c r="DL55" s="1136"/>
      <c r="DM55" s="1136"/>
      <c r="DN55" s="1136"/>
      <c r="DO55" s="1136"/>
      <c r="DP55" s="1136"/>
      <c r="DQ55" s="1136"/>
      <c r="DR55" s="1136"/>
      <c r="DS55" s="1136"/>
      <c r="DT55" s="1136"/>
      <c r="DU55" s="1136"/>
      <c r="DV55" s="1136"/>
      <c r="DW55" s="1136"/>
      <c r="DX55" s="1136"/>
      <c r="DY55" s="1136"/>
      <c r="DZ55" s="1136"/>
      <c r="EA55" s="1136"/>
      <c r="EB55" s="1136"/>
      <c r="EC55" s="1136"/>
      <c r="ED55" s="1136"/>
      <c r="EE55" s="1136"/>
      <c r="EF55" s="1136"/>
      <c r="EG55" s="1136"/>
      <c r="EH55" s="1136"/>
      <c r="EI55" s="1136"/>
      <c r="EJ55" s="1136"/>
      <c r="EK55" s="1136"/>
      <c r="EL55" s="1136"/>
      <c r="EM55" s="1136"/>
      <c r="EN55" s="1136"/>
      <c r="EO55" s="1136"/>
      <c r="EP55" s="1136"/>
      <c r="EQ55" s="1136"/>
      <c r="ER55" s="1136"/>
      <c r="ES55" s="1136"/>
      <c r="ET55" s="1136"/>
      <c r="EU55" s="1136"/>
      <c r="EV55" s="1136"/>
      <c r="EW55" s="1136"/>
      <c r="EX55" s="1136"/>
      <c r="EY55" s="1136"/>
      <c r="EZ55" s="1136"/>
      <c r="FA55" s="1136"/>
      <c r="FB55" s="1136"/>
      <c r="FC55" s="1136"/>
      <c r="FD55" s="1136"/>
      <c r="FE55" s="1136"/>
      <c r="FF55" s="1136"/>
      <c r="FG55" s="1136"/>
      <c r="FH55" s="1136"/>
      <c r="FI55" s="1136"/>
      <c r="FJ55" s="1136"/>
      <c r="FK55" s="1136"/>
      <c r="FL55" s="1136"/>
      <c r="FM55" s="1136"/>
      <c r="FN55" s="1136"/>
      <c r="FO55" s="1136"/>
      <c r="FP55" s="1136"/>
      <c r="FQ55" s="1136"/>
      <c r="FR55" s="1136"/>
      <c r="FS55" s="1136"/>
      <c r="FT55" s="1136"/>
      <c r="FU55" s="1136"/>
      <c r="FV55" s="1136"/>
      <c r="FW55" s="1136"/>
      <c r="FX55" s="1136"/>
      <c r="FY55" s="1136"/>
      <c r="FZ55" s="1136"/>
      <c r="GA55" s="1136"/>
      <c r="GB55" s="1136"/>
      <c r="GC55" s="1136"/>
      <c r="GD55" s="1136"/>
      <c r="GE55" s="1136"/>
      <c r="GF55" s="1136"/>
      <c r="GG55" s="1136"/>
      <c r="GH55" s="1136"/>
      <c r="GI55" s="1136"/>
      <c r="GJ55" s="1136"/>
      <c r="GK55" s="1136"/>
      <c r="GL55" s="1136"/>
      <c r="GM55" s="1136"/>
      <c r="GN55" s="1136"/>
      <c r="GO55" s="1136"/>
      <c r="GP55" s="1136"/>
      <c r="GQ55" s="1136"/>
      <c r="GR55" s="1136"/>
      <c r="GS55" s="1136"/>
      <c r="GT55" s="1136"/>
      <c r="GU55" s="1136"/>
      <c r="GV55" s="1136"/>
      <c r="GW55" s="1136"/>
      <c r="GX55" s="1136"/>
      <c r="GY55" s="1136"/>
      <c r="GZ55" s="1136"/>
      <c r="HA55" s="1136"/>
      <c r="HB55" s="1136"/>
      <c r="HC55" s="1136"/>
      <c r="HD55" s="1136"/>
      <c r="HE55" s="1136"/>
      <c r="HF55" s="1136"/>
      <c r="HG55" s="1136"/>
      <c r="HH55" s="1136"/>
      <c r="HI55" s="1136"/>
      <c r="HJ55" s="1136"/>
      <c r="HK55" s="1136"/>
      <c r="HL55" s="1136"/>
      <c r="HM55" s="1136"/>
      <c r="HN55" s="1136"/>
      <c r="HO55" s="1136"/>
      <c r="HP55" s="1136"/>
      <c r="HQ55" s="1136"/>
      <c r="HR55" s="1136"/>
      <c r="HS55" s="1136"/>
      <c r="HT55" s="1136"/>
      <c r="HU55" s="1136"/>
      <c r="HV55" s="1136"/>
      <c r="HW55" s="1136"/>
      <c r="HX55" s="1136"/>
      <c r="HY55" s="1136"/>
      <c r="HZ55" s="1136"/>
      <c r="IA55" s="1136"/>
      <c r="IB55" s="1136"/>
      <c r="IC55" s="1136"/>
      <c r="ID55" s="1136"/>
      <c r="IE55" s="1136"/>
      <c r="IF55" s="1136"/>
      <c r="IG55" s="1136"/>
      <c r="IH55" s="1136"/>
      <c r="II55" s="1136"/>
      <c r="IJ55" s="1136"/>
      <c r="IK55" s="1136"/>
      <c r="IL55" s="1136"/>
      <c r="IM55" s="1136"/>
      <c r="IN55" s="1136"/>
      <c r="IO55" s="1136"/>
      <c r="IP55" s="1136"/>
      <c r="IQ55" s="1136"/>
      <c r="IR55" s="1136"/>
      <c r="IS55" s="1136"/>
      <c r="IT55" s="1136"/>
      <c r="IU55" s="1136"/>
      <c r="IV55" s="1136"/>
    </row>
    <row r="56" spans="1:256">
      <c r="A56" s="1140">
        <f t="shared" si="9"/>
        <v>36</v>
      </c>
      <c r="B56" s="1137" t="s">
        <v>330</v>
      </c>
      <c r="C56" s="1149">
        <f t="shared" si="10"/>
        <v>0</v>
      </c>
      <c r="D56" s="1149">
        <f t="shared" si="11"/>
        <v>0</v>
      </c>
      <c r="E56" s="1137">
        <v>31</v>
      </c>
      <c r="F56" s="964">
        <f>F55-E56</f>
        <v>1</v>
      </c>
      <c r="G56" s="1150">
        <f t="shared" si="6"/>
        <v>2.7397260273972603E-3</v>
      </c>
      <c r="H56" s="1149">
        <f t="shared" si="7"/>
        <v>0</v>
      </c>
      <c r="I56" s="1149">
        <f t="shared" si="12"/>
        <v>0</v>
      </c>
      <c r="J56" s="1136"/>
      <c r="K56" s="1136"/>
      <c r="L56" s="1136"/>
      <c r="M56" s="1136"/>
      <c r="N56" s="1136"/>
      <c r="O56" s="1136"/>
      <c r="P56" s="1136"/>
      <c r="Q56" s="1136"/>
      <c r="R56" s="1136"/>
      <c r="S56" s="1136"/>
      <c r="T56" s="1136"/>
      <c r="U56" s="1136"/>
      <c r="V56" s="1136"/>
      <c r="W56" s="1136"/>
      <c r="X56" s="1136"/>
      <c r="Y56" s="1136"/>
      <c r="Z56" s="1136"/>
      <c r="AA56" s="1136"/>
      <c r="AB56" s="1136"/>
      <c r="AC56" s="1136"/>
      <c r="AD56" s="1136"/>
      <c r="AE56" s="1136"/>
      <c r="AF56" s="1136"/>
      <c r="AG56" s="1136"/>
      <c r="AH56" s="1136"/>
      <c r="AI56" s="1136"/>
      <c r="AJ56" s="1136"/>
      <c r="AK56" s="1136"/>
      <c r="AL56" s="1136"/>
      <c r="AM56" s="1136"/>
      <c r="AN56" s="1136"/>
      <c r="AO56" s="1136"/>
      <c r="AP56" s="1136"/>
      <c r="AQ56" s="1136"/>
      <c r="AR56" s="1136"/>
      <c r="AS56" s="1136"/>
      <c r="AT56" s="1136"/>
      <c r="AU56" s="1136"/>
      <c r="AV56" s="1136"/>
      <c r="AW56" s="1136"/>
      <c r="AX56" s="1136"/>
      <c r="AY56" s="1136"/>
      <c r="AZ56" s="1136"/>
      <c r="BA56" s="1136"/>
      <c r="BB56" s="1136"/>
      <c r="BC56" s="1136"/>
      <c r="BD56" s="1136"/>
      <c r="BE56" s="1136"/>
      <c r="BF56" s="1136"/>
      <c r="BG56" s="1136"/>
      <c r="BH56" s="1136"/>
      <c r="BI56" s="1136"/>
      <c r="BJ56" s="1136"/>
      <c r="BK56" s="1136"/>
      <c r="BL56" s="1136"/>
      <c r="BM56" s="1136"/>
      <c r="BN56" s="1136"/>
      <c r="BO56" s="1136"/>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c r="DD56" s="1136"/>
      <c r="DE56" s="1136"/>
      <c r="DF56" s="1136"/>
      <c r="DG56" s="1136"/>
      <c r="DH56" s="1136"/>
      <c r="DI56" s="1136"/>
      <c r="DJ56" s="1136"/>
      <c r="DK56" s="1136"/>
      <c r="DL56" s="1136"/>
      <c r="DM56" s="1136"/>
      <c r="DN56" s="1136"/>
      <c r="DO56" s="1136"/>
      <c r="DP56" s="1136"/>
      <c r="DQ56" s="1136"/>
      <c r="DR56" s="1136"/>
      <c r="DS56" s="1136"/>
      <c r="DT56" s="1136"/>
      <c r="DU56" s="1136"/>
      <c r="DV56" s="1136"/>
      <c r="DW56" s="1136"/>
      <c r="DX56" s="1136"/>
      <c r="DY56" s="1136"/>
      <c r="DZ56" s="1136"/>
      <c r="EA56" s="1136"/>
      <c r="EB56" s="1136"/>
      <c r="EC56" s="1136"/>
      <c r="ED56" s="1136"/>
      <c r="EE56" s="1136"/>
      <c r="EF56" s="1136"/>
      <c r="EG56" s="1136"/>
      <c r="EH56" s="1136"/>
      <c r="EI56" s="1136"/>
      <c r="EJ56" s="1136"/>
      <c r="EK56" s="1136"/>
      <c r="EL56" s="1136"/>
      <c r="EM56" s="1136"/>
      <c r="EN56" s="1136"/>
      <c r="EO56" s="1136"/>
      <c r="EP56" s="1136"/>
      <c r="EQ56" s="1136"/>
      <c r="ER56" s="1136"/>
      <c r="ES56" s="1136"/>
      <c r="ET56" s="1136"/>
      <c r="EU56" s="1136"/>
      <c r="EV56" s="1136"/>
      <c r="EW56" s="1136"/>
      <c r="EX56" s="1136"/>
      <c r="EY56" s="1136"/>
      <c r="EZ56" s="1136"/>
      <c r="FA56" s="1136"/>
      <c r="FB56" s="1136"/>
      <c r="FC56" s="1136"/>
      <c r="FD56" s="1136"/>
      <c r="FE56" s="1136"/>
      <c r="FF56" s="1136"/>
      <c r="FG56" s="1136"/>
      <c r="FH56" s="1136"/>
      <c r="FI56" s="1136"/>
      <c r="FJ56" s="1136"/>
      <c r="FK56" s="1136"/>
      <c r="FL56" s="1136"/>
      <c r="FM56" s="1136"/>
      <c r="FN56" s="1136"/>
      <c r="FO56" s="1136"/>
      <c r="FP56" s="1136"/>
      <c r="FQ56" s="1136"/>
      <c r="FR56" s="1136"/>
      <c r="FS56" s="1136"/>
      <c r="FT56" s="1136"/>
      <c r="FU56" s="1136"/>
      <c r="FV56" s="1136"/>
      <c r="FW56" s="1136"/>
      <c r="FX56" s="1136"/>
      <c r="FY56" s="1136"/>
      <c r="FZ56" s="1136"/>
      <c r="GA56" s="1136"/>
      <c r="GB56" s="1136"/>
      <c r="GC56" s="1136"/>
      <c r="GD56" s="1136"/>
      <c r="GE56" s="1136"/>
      <c r="GF56" s="1136"/>
      <c r="GG56" s="1136"/>
      <c r="GH56" s="1136"/>
      <c r="GI56" s="1136"/>
      <c r="GJ56" s="1136"/>
      <c r="GK56" s="1136"/>
      <c r="GL56" s="1136"/>
      <c r="GM56" s="1136"/>
      <c r="GN56" s="1136"/>
      <c r="GO56" s="1136"/>
      <c r="GP56" s="1136"/>
      <c r="GQ56" s="1136"/>
      <c r="GR56" s="1136"/>
      <c r="GS56" s="1136"/>
      <c r="GT56" s="1136"/>
      <c r="GU56" s="1136"/>
      <c r="GV56" s="1136"/>
      <c r="GW56" s="1136"/>
      <c r="GX56" s="1136"/>
      <c r="GY56" s="1136"/>
      <c r="GZ56" s="1136"/>
      <c r="HA56" s="1136"/>
      <c r="HB56" s="1136"/>
      <c r="HC56" s="1136"/>
      <c r="HD56" s="1136"/>
      <c r="HE56" s="1136"/>
      <c r="HF56" s="1136"/>
      <c r="HG56" s="1136"/>
      <c r="HH56" s="1136"/>
      <c r="HI56" s="1136"/>
      <c r="HJ56" s="1136"/>
      <c r="HK56" s="1136"/>
      <c r="HL56" s="1136"/>
      <c r="HM56" s="1136"/>
      <c r="HN56" s="1136"/>
      <c r="HO56" s="1136"/>
      <c r="HP56" s="1136"/>
      <c r="HQ56" s="1136"/>
      <c r="HR56" s="1136"/>
      <c r="HS56" s="1136"/>
      <c r="HT56" s="1136"/>
      <c r="HU56" s="1136"/>
      <c r="HV56" s="1136"/>
      <c r="HW56" s="1136"/>
      <c r="HX56" s="1136"/>
      <c r="HY56" s="1136"/>
      <c r="HZ56" s="1136"/>
      <c r="IA56" s="1136"/>
      <c r="IB56" s="1136"/>
      <c r="IC56" s="1136"/>
      <c r="ID56" s="1136"/>
      <c r="IE56" s="1136"/>
      <c r="IF56" s="1136"/>
      <c r="IG56" s="1136"/>
      <c r="IH56" s="1136"/>
      <c r="II56" s="1136"/>
      <c r="IJ56" s="1136"/>
      <c r="IK56" s="1136"/>
      <c r="IL56" s="1136"/>
      <c r="IM56" s="1136"/>
      <c r="IN56" s="1136"/>
      <c r="IO56" s="1136"/>
      <c r="IP56" s="1136"/>
      <c r="IQ56" s="1136"/>
      <c r="IR56" s="1136"/>
      <c r="IS56" s="1136"/>
      <c r="IT56" s="1136"/>
      <c r="IU56" s="1136"/>
      <c r="IV56" s="1136"/>
    </row>
    <row r="57" spans="1:256">
      <c r="A57" s="1140"/>
      <c r="B57" s="1137"/>
      <c r="C57" s="1151"/>
      <c r="D57" s="1151"/>
      <c r="E57" s="1137"/>
      <c r="F57" s="1137"/>
      <c r="G57" s="1137"/>
      <c r="H57" s="1151"/>
      <c r="I57" s="1151"/>
      <c r="J57" s="1136"/>
      <c r="K57" s="1136"/>
      <c r="L57" s="1136"/>
      <c r="M57" s="1136"/>
      <c r="N57" s="1136"/>
      <c r="O57" s="1136"/>
      <c r="P57" s="1136"/>
      <c r="Q57" s="1136"/>
      <c r="R57" s="1136"/>
      <c r="S57" s="1136"/>
      <c r="T57" s="1136"/>
      <c r="U57" s="1136"/>
      <c r="V57" s="1136"/>
      <c r="W57" s="1136"/>
      <c r="X57" s="1136"/>
      <c r="Y57" s="1136"/>
      <c r="Z57" s="1136"/>
      <c r="AA57" s="1136"/>
      <c r="AB57" s="1136"/>
      <c r="AC57" s="1136"/>
      <c r="AD57" s="1136"/>
      <c r="AE57" s="1136"/>
      <c r="AF57" s="1136"/>
      <c r="AG57" s="1136"/>
      <c r="AH57" s="1136"/>
      <c r="AI57" s="1136"/>
      <c r="AJ57" s="1136"/>
      <c r="AK57" s="1136"/>
      <c r="AL57" s="1136"/>
      <c r="AM57" s="1136"/>
      <c r="AN57" s="1136"/>
      <c r="AO57" s="1136"/>
      <c r="AP57" s="1136"/>
      <c r="AQ57" s="1136"/>
      <c r="AR57" s="1136"/>
      <c r="AS57" s="1136"/>
      <c r="AT57" s="1136"/>
      <c r="AU57" s="1136"/>
      <c r="AV57" s="1136"/>
      <c r="AW57" s="1136"/>
      <c r="AX57" s="1136"/>
      <c r="AY57" s="1136"/>
      <c r="AZ57" s="1136"/>
      <c r="BA57" s="1136"/>
      <c r="BB57" s="1136"/>
      <c r="BC57" s="1136"/>
      <c r="BD57" s="1136"/>
      <c r="BE57" s="1136"/>
      <c r="BF57" s="1136"/>
      <c r="BG57" s="1136"/>
      <c r="BH57" s="1136"/>
      <c r="BI57" s="1136"/>
      <c r="BJ57" s="1136"/>
      <c r="BK57" s="1136"/>
      <c r="BL57" s="1136"/>
      <c r="BM57" s="1136"/>
      <c r="BN57" s="1136"/>
      <c r="BO57" s="1136"/>
      <c r="BP57" s="1136"/>
      <c r="BQ57" s="1136"/>
      <c r="BR57" s="1136"/>
      <c r="BS57" s="1136"/>
      <c r="BT57" s="1136"/>
      <c r="BU57" s="1136"/>
      <c r="BV57" s="1136"/>
      <c r="BW57" s="1136"/>
      <c r="BX57" s="1136"/>
      <c r="BY57" s="1136"/>
      <c r="BZ57" s="1136"/>
      <c r="CA57" s="1136"/>
      <c r="CB57" s="1136"/>
      <c r="CC57" s="1136"/>
      <c r="CD57" s="1136"/>
      <c r="CE57" s="1136"/>
      <c r="CF57" s="1136"/>
      <c r="CG57" s="1136"/>
      <c r="CH57" s="1136"/>
      <c r="CI57" s="1136"/>
      <c r="CJ57" s="1136"/>
      <c r="CK57" s="1136"/>
      <c r="CL57" s="1136"/>
      <c r="CM57" s="1136"/>
      <c r="CN57" s="1136"/>
      <c r="CO57" s="1136"/>
      <c r="CP57" s="1136"/>
      <c r="CQ57" s="1136"/>
      <c r="CR57" s="1136"/>
      <c r="CS57" s="1136"/>
      <c r="CT57" s="1136"/>
      <c r="CU57" s="1136"/>
      <c r="CV57" s="1136"/>
      <c r="CW57" s="1136"/>
      <c r="CX57" s="1136"/>
      <c r="CY57" s="1136"/>
      <c r="CZ57" s="1136"/>
      <c r="DA57" s="1136"/>
      <c r="DB57" s="1136"/>
      <c r="DC57" s="1136"/>
      <c r="DD57" s="1136"/>
      <c r="DE57" s="1136"/>
      <c r="DF57" s="1136"/>
      <c r="DG57" s="1136"/>
      <c r="DH57" s="1136"/>
      <c r="DI57" s="1136"/>
      <c r="DJ57" s="1136"/>
      <c r="DK57" s="1136"/>
      <c r="DL57" s="1136"/>
      <c r="DM57" s="1136"/>
      <c r="DN57" s="1136"/>
      <c r="DO57" s="1136"/>
      <c r="DP57" s="1136"/>
      <c r="DQ57" s="1136"/>
      <c r="DR57" s="1136"/>
      <c r="DS57" s="1136"/>
      <c r="DT57" s="1136"/>
      <c r="DU57" s="1136"/>
      <c r="DV57" s="1136"/>
      <c r="DW57" s="1136"/>
      <c r="DX57" s="1136"/>
      <c r="DY57" s="1136"/>
      <c r="DZ57" s="1136"/>
      <c r="EA57" s="1136"/>
      <c r="EB57" s="1136"/>
      <c r="EC57" s="1136"/>
      <c r="ED57" s="1136"/>
      <c r="EE57" s="1136"/>
      <c r="EF57" s="1136"/>
      <c r="EG57" s="1136"/>
      <c r="EH57" s="1136"/>
      <c r="EI57" s="1136"/>
      <c r="EJ57" s="1136"/>
      <c r="EK57" s="1136"/>
      <c r="EL57" s="1136"/>
      <c r="EM57" s="1136"/>
      <c r="EN57" s="1136"/>
      <c r="EO57" s="1136"/>
      <c r="EP57" s="1136"/>
      <c r="EQ57" s="1136"/>
      <c r="ER57" s="1136"/>
      <c r="ES57" s="1136"/>
      <c r="ET57" s="1136"/>
      <c r="EU57" s="1136"/>
      <c r="EV57" s="1136"/>
      <c r="EW57" s="1136"/>
      <c r="EX57" s="1136"/>
      <c r="EY57" s="1136"/>
      <c r="EZ57" s="1136"/>
      <c r="FA57" s="1136"/>
      <c r="FB57" s="1136"/>
      <c r="FC57" s="1136"/>
      <c r="FD57" s="1136"/>
      <c r="FE57" s="1136"/>
      <c r="FF57" s="1136"/>
      <c r="FG57" s="1136"/>
      <c r="FH57" s="1136"/>
      <c r="FI57" s="1136"/>
      <c r="FJ57" s="1136"/>
      <c r="FK57" s="1136"/>
      <c r="FL57" s="1136"/>
      <c r="FM57" s="1136"/>
      <c r="FN57" s="1136"/>
      <c r="FO57" s="1136"/>
      <c r="FP57" s="1136"/>
      <c r="FQ57" s="1136"/>
      <c r="FR57" s="1136"/>
      <c r="FS57" s="1136"/>
      <c r="FT57" s="1136"/>
      <c r="FU57" s="1136"/>
      <c r="FV57" s="1136"/>
      <c r="FW57" s="1136"/>
      <c r="FX57" s="1136"/>
      <c r="FY57" s="1136"/>
      <c r="FZ57" s="1136"/>
      <c r="GA57" s="1136"/>
      <c r="GB57" s="1136"/>
      <c r="GC57" s="1136"/>
      <c r="GD57" s="1136"/>
      <c r="GE57" s="1136"/>
      <c r="GF57" s="1136"/>
      <c r="GG57" s="1136"/>
      <c r="GH57" s="1136"/>
      <c r="GI57" s="1136"/>
      <c r="GJ57" s="1136"/>
      <c r="GK57" s="1136"/>
      <c r="GL57" s="1136"/>
      <c r="GM57" s="1136"/>
      <c r="GN57" s="1136"/>
      <c r="GO57" s="1136"/>
      <c r="GP57" s="1136"/>
      <c r="GQ57" s="1136"/>
      <c r="GR57" s="1136"/>
      <c r="GS57" s="1136"/>
      <c r="GT57" s="1136"/>
      <c r="GU57" s="1136"/>
      <c r="GV57" s="1136"/>
      <c r="GW57" s="1136"/>
      <c r="GX57" s="1136"/>
      <c r="GY57" s="1136"/>
      <c r="GZ57" s="1136"/>
      <c r="HA57" s="1136"/>
      <c r="HB57" s="1136"/>
      <c r="HC57" s="1136"/>
      <c r="HD57" s="1136"/>
      <c r="HE57" s="1136"/>
      <c r="HF57" s="1136"/>
      <c r="HG57" s="1136"/>
      <c r="HH57" s="1136"/>
      <c r="HI57" s="1136"/>
      <c r="HJ57" s="1136"/>
      <c r="HK57" s="1136"/>
      <c r="HL57" s="1136"/>
      <c r="HM57" s="1136"/>
      <c r="HN57" s="1136"/>
      <c r="HO57" s="1136"/>
      <c r="HP57" s="1136"/>
      <c r="HQ57" s="1136"/>
      <c r="HR57" s="1136"/>
      <c r="HS57" s="1136"/>
      <c r="HT57" s="1136"/>
      <c r="HU57" s="1136"/>
      <c r="HV57" s="1136"/>
      <c r="HW57" s="1136"/>
      <c r="HX57" s="1136"/>
      <c r="HY57" s="1136"/>
      <c r="HZ57" s="1136"/>
      <c r="IA57" s="1136"/>
      <c r="IB57" s="1136"/>
      <c r="IC57" s="1136"/>
      <c r="ID57" s="1136"/>
      <c r="IE57" s="1136"/>
      <c r="IF57" s="1136"/>
      <c r="IG57" s="1136"/>
      <c r="IH57" s="1136"/>
      <c r="II57" s="1136"/>
      <c r="IJ57" s="1136"/>
      <c r="IK57" s="1136"/>
      <c r="IL57" s="1136"/>
      <c r="IM57" s="1136"/>
      <c r="IN57" s="1136"/>
      <c r="IO57" s="1136"/>
      <c r="IP57" s="1136"/>
      <c r="IQ57" s="1136"/>
      <c r="IR57" s="1136"/>
      <c r="IS57" s="1136"/>
      <c r="IT57" s="1136"/>
      <c r="IU57" s="1136"/>
      <c r="IV57" s="1136"/>
    </row>
    <row r="58" spans="1:256">
      <c r="A58" s="1140">
        <f>+A56+1</f>
        <v>37</v>
      </c>
      <c r="B58" s="1137" t="s">
        <v>520</v>
      </c>
      <c r="C58" s="1151"/>
      <c r="D58" s="1149">
        <f>+D56</f>
        <v>0</v>
      </c>
      <c r="E58" s="1137"/>
      <c r="F58" s="1137"/>
      <c r="G58" s="1137"/>
      <c r="H58" s="1151"/>
      <c r="I58" s="1149">
        <f>+I56</f>
        <v>0</v>
      </c>
      <c r="J58" s="1136"/>
      <c r="K58" s="1136"/>
      <c r="L58" s="1136"/>
      <c r="M58" s="1136"/>
      <c r="N58" s="1136"/>
      <c r="O58" s="1136"/>
      <c r="P58" s="1136"/>
      <c r="Q58" s="1136"/>
      <c r="R58" s="1136"/>
      <c r="S58" s="1136"/>
      <c r="T58" s="1136"/>
      <c r="U58" s="1136"/>
      <c r="V58" s="1136"/>
      <c r="W58" s="1136"/>
      <c r="X58" s="1136"/>
      <c r="Y58" s="1136"/>
      <c r="Z58" s="1136"/>
      <c r="AA58" s="1136"/>
      <c r="AB58" s="1136"/>
      <c r="AC58" s="1136"/>
      <c r="AD58" s="1136"/>
      <c r="AE58" s="1136"/>
      <c r="AF58" s="1136"/>
      <c r="AG58" s="1136"/>
      <c r="AH58" s="1136"/>
      <c r="AI58" s="1136"/>
      <c r="AJ58" s="1136"/>
      <c r="AK58" s="1136"/>
      <c r="AL58" s="1136"/>
      <c r="AM58" s="1136"/>
      <c r="AN58" s="1136"/>
      <c r="AO58" s="1136"/>
      <c r="AP58" s="1136"/>
      <c r="AQ58" s="1136"/>
      <c r="AR58" s="1136"/>
      <c r="AS58" s="1136"/>
      <c r="AT58" s="1136"/>
      <c r="AU58" s="1136"/>
      <c r="AV58" s="1136"/>
      <c r="AW58" s="1136"/>
      <c r="AX58" s="1136"/>
      <c r="AY58" s="1136"/>
      <c r="AZ58" s="1136"/>
      <c r="BA58" s="1136"/>
      <c r="BB58" s="1136"/>
      <c r="BC58" s="1136"/>
      <c r="BD58" s="1136"/>
      <c r="BE58" s="1136"/>
      <c r="BF58" s="1136"/>
      <c r="BG58" s="1136"/>
      <c r="BH58" s="1136"/>
      <c r="BI58" s="1136"/>
      <c r="BJ58" s="1136"/>
      <c r="BK58" s="1136"/>
      <c r="BL58" s="1136"/>
      <c r="BM58" s="1136"/>
      <c r="BN58" s="1136"/>
      <c r="BO58" s="1136"/>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1136"/>
      <c r="DE58" s="1136"/>
      <c r="DF58" s="1136"/>
      <c r="DG58" s="1136"/>
      <c r="DH58" s="1136"/>
      <c r="DI58" s="1136"/>
      <c r="DJ58" s="1136"/>
      <c r="DK58" s="1136"/>
      <c r="DL58" s="1136"/>
      <c r="DM58" s="1136"/>
      <c r="DN58" s="1136"/>
      <c r="DO58" s="1136"/>
      <c r="DP58" s="1136"/>
      <c r="DQ58" s="1136"/>
      <c r="DR58" s="1136"/>
      <c r="DS58" s="1136"/>
      <c r="DT58" s="1136"/>
      <c r="DU58" s="1136"/>
      <c r="DV58" s="1136"/>
      <c r="DW58" s="1136"/>
      <c r="DX58" s="1136"/>
      <c r="DY58" s="1136"/>
      <c r="DZ58" s="1136"/>
      <c r="EA58" s="1136"/>
      <c r="EB58" s="1136"/>
      <c r="EC58" s="1136"/>
      <c r="ED58" s="1136"/>
      <c r="EE58" s="1136"/>
      <c r="EF58" s="1136"/>
      <c r="EG58" s="1136"/>
      <c r="EH58" s="1136"/>
      <c r="EI58" s="1136"/>
      <c r="EJ58" s="1136"/>
      <c r="EK58" s="1136"/>
      <c r="EL58" s="1136"/>
      <c r="EM58" s="1136"/>
      <c r="EN58" s="1136"/>
      <c r="EO58" s="1136"/>
      <c r="EP58" s="1136"/>
      <c r="EQ58" s="1136"/>
      <c r="ER58" s="1136"/>
      <c r="ES58" s="1136"/>
      <c r="ET58" s="1136"/>
      <c r="EU58" s="1136"/>
      <c r="EV58" s="1136"/>
      <c r="EW58" s="1136"/>
      <c r="EX58" s="1136"/>
      <c r="EY58" s="1136"/>
      <c r="EZ58" s="1136"/>
      <c r="FA58" s="1136"/>
      <c r="FB58" s="1136"/>
      <c r="FC58" s="1136"/>
      <c r="FD58" s="1136"/>
      <c r="FE58" s="1136"/>
      <c r="FF58" s="1136"/>
      <c r="FG58" s="1136"/>
      <c r="FH58" s="1136"/>
      <c r="FI58" s="1136"/>
      <c r="FJ58" s="1136"/>
      <c r="FK58" s="1136"/>
      <c r="FL58" s="1136"/>
      <c r="FM58" s="1136"/>
      <c r="FN58" s="1136"/>
      <c r="FO58" s="1136"/>
      <c r="FP58" s="1136"/>
      <c r="FQ58" s="1136"/>
      <c r="FR58" s="1136"/>
      <c r="FS58" s="1136"/>
      <c r="FT58" s="1136"/>
      <c r="FU58" s="1136"/>
      <c r="FV58" s="1136"/>
      <c r="FW58" s="1136"/>
      <c r="FX58" s="1136"/>
      <c r="FY58" s="1136"/>
      <c r="FZ58" s="1136"/>
      <c r="GA58" s="1136"/>
      <c r="GB58" s="1136"/>
      <c r="GC58" s="1136"/>
      <c r="GD58" s="1136"/>
      <c r="GE58" s="1136"/>
      <c r="GF58" s="1136"/>
      <c r="GG58" s="1136"/>
      <c r="GH58" s="1136"/>
      <c r="GI58" s="1136"/>
      <c r="GJ58" s="1136"/>
      <c r="GK58" s="1136"/>
      <c r="GL58" s="1136"/>
      <c r="GM58" s="1136"/>
      <c r="GN58" s="1136"/>
      <c r="GO58" s="1136"/>
      <c r="GP58" s="1136"/>
      <c r="GQ58" s="1136"/>
      <c r="GR58" s="1136"/>
      <c r="GS58" s="1136"/>
      <c r="GT58" s="1136"/>
      <c r="GU58" s="1136"/>
      <c r="GV58" s="1136"/>
      <c r="GW58" s="1136"/>
      <c r="GX58" s="1136"/>
      <c r="GY58" s="1136"/>
      <c r="GZ58" s="1136"/>
      <c r="HA58" s="1136"/>
      <c r="HB58" s="1136"/>
      <c r="HC58" s="1136"/>
      <c r="HD58" s="1136"/>
      <c r="HE58" s="1136"/>
      <c r="HF58" s="1136"/>
      <c r="HG58" s="1136"/>
      <c r="HH58" s="1136"/>
      <c r="HI58" s="1136"/>
      <c r="HJ58" s="1136"/>
      <c r="HK58" s="1136"/>
      <c r="HL58" s="1136"/>
      <c r="HM58" s="1136"/>
      <c r="HN58" s="1136"/>
      <c r="HO58" s="1136"/>
      <c r="HP58" s="1136"/>
      <c r="HQ58" s="1136"/>
      <c r="HR58" s="1136"/>
      <c r="HS58" s="1136"/>
      <c r="HT58" s="1136"/>
      <c r="HU58" s="1136"/>
      <c r="HV58" s="1136"/>
      <c r="HW58" s="1136"/>
      <c r="HX58" s="1136"/>
      <c r="HY58" s="1136"/>
      <c r="HZ58" s="1136"/>
      <c r="IA58" s="1136"/>
      <c r="IB58" s="1136"/>
      <c r="IC58" s="1136"/>
      <c r="ID58" s="1136"/>
      <c r="IE58" s="1136"/>
      <c r="IF58" s="1136"/>
      <c r="IG58" s="1136"/>
      <c r="IH58" s="1136"/>
      <c r="II58" s="1136"/>
      <c r="IJ58" s="1136"/>
      <c r="IK58" s="1136"/>
      <c r="IL58" s="1136"/>
      <c r="IM58" s="1136"/>
      <c r="IN58" s="1136"/>
      <c r="IO58" s="1136"/>
      <c r="IP58" s="1136"/>
      <c r="IQ58" s="1136"/>
      <c r="IR58" s="1136"/>
      <c r="IS58" s="1136"/>
      <c r="IT58" s="1136"/>
      <c r="IU58" s="1136"/>
      <c r="IV58" s="1136"/>
    </row>
    <row r="59" spans="1:256">
      <c r="A59" s="1140"/>
      <c r="B59" s="1152"/>
      <c r="C59" s="1152"/>
      <c r="D59" s="1152"/>
      <c r="E59" s="1152"/>
      <c r="F59" s="1152"/>
      <c r="G59" s="1152"/>
      <c r="H59" s="1152"/>
      <c r="I59" s="1152"/>
      <c r="J59" s="1136"/>
      <c r="K59" s="1136"/>
      <c r="L59" s="1136"/>
      <c r="M59" s="1136"/>
      <c r="N59" s="1136"/>
      <c r="O59" s="1136"/>
      <c r="P59" s="1136"/>
      <c r="Q59" s="1136"/>
      <c r="R59" s="1136"/>
      <c r="S59" s="1136"/>
      <c r="T59" s="1136"/>
      <c r="U59" s="1136"/>
      <c r="V59" s="1136"/>
      <c r="W59" s="1136"/>
      <c r="X59" s="1136"/>
      <c r="Y59" s="1136"/>
      <c r="Z59" s="1136"/>
      <c r="AA59" s="1136"/>
      <c r="AB59" s="1136"/>
      <c r="AC59" s="1136"/>
      <c r="AD59" s="1136"/>
      <c r="AE59" s="1136"/>
      <c r="AF59" s="1136"/>
      <c r="AG59" s="1136"/>
      <c r="AH59" s="1136"/>
      <c r="AI59" s="1136"/>
      <c r="AJ59" s="1136"/>
      <c r="AK59" s="1136"/>
      <c r="AL59" s="1136"/>
      <c r="AM59" s="1136"/>
      <c r="AN59" s="1136"/>
      <c r="AO59" s="1136"/>
      <c r="AP59" s="1136"/>
      <c r="AQ59" s="1136"/>
      <c r="AR59" s="1136"/>
      <c r="AS59" s="1136"/>
      <c r="AT59" s="1136"/>
      <c r="AU59" s="1136"/>
      <c r="AV59" s="1136"/>
      <c r="AW59" s="1136"/>
      <c r="AX59" s="1136"/>
      <c r="AY59" s="1136"/>
      <c r="AZ59" s="1136"/>
      <c r="BA59" s="1136"/>
      <c r="BB59" s="1136"/>
      <c r="BC59" s="1136"/>
      <c r="BD59" s="1136"/>
      <c r="BE59" s="1136"/>
      <c r="BF59" s="1136"/>
      <c r="BG59" s="1136"/>
      <c r="BH59" s="1136"/>
      <c r="BI59" s="1136"/>
      <c r="BJ59" s="1136"/>
      <c r="BK59" s="1136"/>
      <c r="BL59" s="1136"/>
      <c r="BM59" s="1136"/>
      <c r="BN59" s="1136"/>
      <c r="BO59" s="1136"/>
      <c r="BP59" s="1136"/>
      <c r="BQ59" s="1136"/>
      <c r="BR59" s="1136"/>
      <c r="BS59" s="1136"/>
      <c r="BT59" s="1136"/>
      <c r="BU59" s="1136"/>
      <c r="BV59" s="1136"/>
      <c r="BW59" s="1136"/>
      <c r="BX59" s="1136"/>
      <c r="BY59" s="1136"/>
      <c r="BZ59" s="1136"/>
      <c r="CA59" s="1136"/>
      <c r="CB59" s="1136"/>
      <c r="CC59" s="1136"/>
      <c r="CD59" s="1136"/>
      <c r="CE59" s="1136"/>
      <c r="CF59" s="1136"/>
      <c r="CG59" s="1136"/>
      <c r="CH59" s="1136"/>
      <c r="CI59" s="1136"/>
      <c r="CJ59" s="1136"/>
      <c r="CK59" s="1136"/>
      <c r="CL59" s="1136"/>
      <c r="CM59" s="1136"/>
      <c r="CN59" s="1136"/>
      <c r="CO59" s="1136"/>
      <c r="CP59" s="1136"/>
      <c r="CQ59" s="1136"/>
      <c r="CR59" s="1136"/>
      <c r="CS59" s="1136"/>
      <c r="CT59" s="1136"/>
      <c r="CU59" s="1136"/>
      <c r="CV59" s="1136"/>
      <c r="CW59" s="1136"/>
      <c r="CX59" s="1136"/>
      <c r="CY59" s="1136"/>
      <c r="CZ59" s="1136"/>
      <c r="DA59" s="1136"/>
      <c r="DB59" s="1136"/>
      <c r="DC59" s="1136"/>
      <c r="DD59" s="1136"/>
      <c r="DE59" s="1136"/>
      <c r="DF59" s="1136"/>
      <c r="DG59" s="1136"/>
      <c r="DH59" s="1136"/>
      <c r="DI59" s="1136"/>
      <c r="DJ59" s="1136"/>
      <c r="DK59" s="1136"/>
      <c r="DL59" s="1136"/>
      <c r="DM59" s="1136"/>
      <c r="DN59" s="1136"/>
      <c r="DO59" s="1136"/>
      <c r="DP59" s="1136"/>
      <c r="DQ59" s="1136"/>
      <c r="DR59" s="1136"/>
      <c r="DS59" s="1136"/>
      <c r="DT59" s="1136"/>
      <c r="DU59" s="1136"/>
      <c r="DV59" s="1136"/>
      <c r="DW59" s="1136"/>
      <c r="DX59" s="1136"/>
      <c r="DY59" s="1136"/>
      <c r="DZ59" s="1136"/>
      <c r="EA59" s="1136"/>
      <c r="EB59" s="1136"/>
      <c r="EC59" s="1136"/>
      <c r="ED59" s="1136"/>
      <c r="EE59" s="1136"/>
      <c r="EF59" s="1136"/>
      <c r="EG59" s="1136"/>
      <c r="EH59" s="1136"/>
      <c r="EI59" s="1136"/>
      <c r="EJ59" s="1136"/>
      <c r="EK59" s="1136"/>
      <c r="EL59" s="1136"/>
      <c r="EM59" s="1136"/>
      <c r="EN59" s="1136"/>
      <c r="EO59" s="1136"/>
      <c r="EP59" s="1136"/>
      <c r="EQ59" s="1136"/>
      <c r="ER59" s="1136"/>
      <c r="ES59" s="1136"/>
      <c r="ET59" s="1136"/>
      <c r="EU59" s="1136"/>
      <c r="EV59" s="1136"/>
      <c r="EW59" s="1136"/>
      <c r="EX59" s="1136"/>
      <c r="EY59" s="1136"/>
      <c r="EZ59" s="1136"/>
      <c r="FA59" s="1136"/>
      <c r="FB59" s="1136"/>
      <c r="FC59" s="1136"/>
      <c r="FD59" s="1136"/>
      <c r="FE59" s="1136"/>
      <c r="FF59" s="1136"/>
      <c r="FG59" s="1136"/>
      <c r="FH59" s="1136"/>
      <c r="FI59" s="1136"/>
      <c r="FJ59" s="1136"/>
      <c r="FK59" s="1136"/>
      <c r="FL59" s="1136"/>
      <c r="FM59" s="1136"/>
      <c r="FN59" s="1136"/>
      <c r="FO59" s="1136"/>
      <c r="FP59" s="1136"/>
      <c r="FQ59" s="1136"/>
      <c r="FR59" s="1136"/>
      <c r="FS59" s="1136"/>
      <c r="FT59" s="1136"/>
      <c r="FU59" s="1136"/>
      <c r="FV59" s="1136"/>
      <c r="FW59" s="1136"/>
      <c r="FX59" s="1136"/>
      <c r="FY59" s="1136"/>
      <c r="FZ59" s="1136"/>
      <c r="GA59" s="1136"/>
      <c r="GB59" s="1136"/>
      <c r="GC59" s="1136"/>
      <c r="GD59" s="1136"/>
      <c r="GE59" s="1136"/>
      <c r="GF59" s="1136"/>
      <c r="GG59" s="1136"/>
      <c r="GH59" s="1136"/>
      <c r="GI59" s="1136"/>
      <c r="GJ59" s="1136"/>
      <c r="GK59" s="1136"/>
      <c r="GL59" s="1136"/>
      <c r="GM59" s="1136"/>
      <c r="GN59" s="1136"/>
      <c r="GO59" s="1136"/>
      <c r="GP59" s="1136"/>
      <c r="GQ59" s="1136"/>
      <c r="GR59" s="1136"/>
      <c r="GS59" s="1136"/>
      <c r="GT59" s="1136"/>
      <c r="GU59" s="1136"/>
      <c r="GV59" s="1136"/>
      <c r="GW59" s="1136"/>
      <c r="GX59" s="1136"/>
      <c r="GY59" s="1136"/>
      <c r="GZ59" s="1136"/>
      <c r="HA59" s="1136"/>
      <c r="HB59" s="1136"/>
      <c r="HC59" s="1136"/>
      <c r="HD59" s="1136"/>
      <c r="HE59" s="1136"/>
      <c r="HF59" s="1136"/>
      <c r="HG59" s="1136"/>
      <c r="HH59" s="1136"/>
      <c r="HI59" s="1136"/>
      <c r="HJ59" s="1136"/>
      <c r="HK59" s="1136"/>
      <c r="HL59" s="1136"/>
      <c r="HM59" s="1136"/>
      <c r="HN59" s="1136"/>
      <c r="HO59" s="1136"/>
      <c r="HP59" s="1136"/>
      <c r="HQ59" s="1136"/>
      <c r="HR59" s="1136"/>
      <c r="HS59" s="1136"/>
      <c r="HT59" s="1136"/>
      <c r="HU59" s="1136"/>
      <c r="HV59" s="1136"/>
      <c r="HW59" s="1136"/>
      <c r="HX59" s="1136"/>
      <c r="HY59" s="1136"/>
      <c r="HZ59" s="1136"/>
      <c r="IA59" s="1136"/>
      <c r="IB59" s="1136"/>
      <c r="IC59" s="1136"/>
      <c r="ID59" s="1136"/>
      <c r="IE59" s="1136"/>
      <c r="IF59" s="1136"/>
      <c r="IG59" s="1136"/>
      <c r="IH59" s="1136"/>
      <c r="II59" s="1136"/>
      <c r="IJ59" s="1136"/>
      <c r="IK59" s="1136"/>
      <c r="IL59" s="1136"/>
      <c r="IM59" s="1136"/>
      <c r="IN59" s="1136"/>
      <c r="IO59" s="1136"/>
      <c r="IP59" s="1136"/>
      <c r="IQ59" s="1136"/>
      <c r="IR59" s="1136"/>
      <c r="IS59" s="1136"/>
      <c r="IT59" s="1136"/>
      <c r="IU59" s="1136"/>
      <c r="IV59" s="1136"/>
    </row>
    <row r="60" spans="1:256" ht="13.5" thickBot="1">
      <c r="A60" s="1140">
        <f>+A58+1</f>
        <v>38</v>
      </c>
      <c r="B60" s="1153" t="str">
        <f>"Proration Adjustment - Line "&amp;A58&amp;" Col. "&amp;I42&amp;" less Col. "&amp;D42</f>
        <v>Proration Adjustment - Line 37 Col. (H) less Col. (C )</v>
      </c>
      <c r="C60" s="1153"/>
      <c r="D60" s="1153"/>
      <c r="E60" s="1153"/>
      <c r="F60" s="1153"/>
      <c r="G60" s="1153"/>
      <c r="H60" s="1153"/>
      <c r="I60" s="1154">
        <f>+I58-D58</f>
        <v>0</v>
      </c>
      <c r="J60" s="1136"/>
      <c r="K60" s="1136"/>
      <c r="L60" s="1136"/>
      <c r="M60" s="1136"/>
      <c r="N60" s="1136"/>
      <c r="O60" s="1136"/>
      <c r="P60" s="1136"/>
      <c r="Q60" s="1136"/>
      <c r="R60" s="1136"/>
      <c r="S60" s="1136"/>
      <c r="T60" s="1136"/>
      <c r="U60" s="1136"/>
      <c r="V60" s="1136"/>
      <c r="W60" s="1136"/>
      <c r="X60" s="1136"/>
      <c r="Y60" s="1136"/>
      <c r="Z60" s="1136"/>
      <c r="AA60" s="1136"/>
      <c r="AB60" s="1136"/>
      <c r="AC60" s="1136"/>
      <c r="AD60" s="1136"/>
      <c r="AE60" s="1136"/>
      <c r="AF60" s="1136"/>
      <c r="AG60" s="1136"/>
      <c r="AH60" s="1136"/>
      <c r="AI60" s="1136"/>
      <c r="AJ60" s="1136"/>
      <c r="AK60" s="1136"/>
      <c r="AL60" s="1136"/>
      <c r="AM60" s="1136"/>
      <c r="AN60" s="1136"/>
      <c r="AO60" s="1136"/>
      <c r="AP60" s="1136"/>
      <c r="AQ60" s="1136"/>
      <c r="AR60" s="1136"/>
      <c r="AS60" s="1136"/>
      <c r="AT60" s="1136"/>
      <c r="AU60" s="1136"/>
      <c r="AV60" s="1136"/>
      <c r="AW60" s="1136"/>
      <c r="AX60" s="1136"/>
      <c r="AY60" s="1136"/>
      <c r="AZ60" s="1136"/>
      <c r="BA60" s="1136"/>
      <c r="BB60" s="1136"/>
      <c r="BC60" s="1136"/>
      <c r="BD60" s="1136"/>
      <c r="BE60" s="1136"/>
      <c r="BF60" s="1136"/>
      <c r="BG60" s="1136"/>
      <c r="BH60" s="1136"/>
      <c r="BI60" s="1136"/>
      <c r="BJ60" s="1136"/>
      <c r="BK60" s="1136"/>
      <c r="BL60" s="1136"/>
      <c r="BM60" s="1136"/>
      <c r="BN60" s="1136"/>
      <c r="BO60" s="1136"/>
      <c r="BP60" s="1136"/>
      <c r="BQ60" s="1136"/>
      <c r="BR60" s="1136"/>
      <c r="BS60" s="1136"/>
      <c r="BT60" s="1136"/>
      <c r="BU60" s="1136"/>
      <c r="BV60" s="1136"/>
      <c r="BW60" s="1136"/>
      <c r="BX60" s="1136"/>
      <c r="BY60" s="1136"/>
      <c r="BZ60" s="1136"/>
      <c r="CA60" s="1136"/>
      <c r="CB60" s="1136"/>
      <c r="CC60" s="1136"/>
      <c r="CD60" s="1136"/>
      <c r="CE60" s="1136"/>
      <c r="CF60" s="1136"/>
      <c r="CG60" s="1136"/>
      <c r="CH60" s="1136"/>
      <c r="CI60" s="1136"/>
      <c r="CJ60" s="1136"/>
      <c r="CK60" s="1136"/>
      <c r="CL60" s="1136"/>
      <c r="CM60" s="1136"/>
      <c r="CN60" s="1136"/>
      <c r="CO60" s="1136"/>
      <c r="CP60" s="1136"/>
      <c r="CQ60" s="1136"/>
      <c r="CR60" s="1136"/>
      <c r="CS60" s="1136"/>
      <c r="CT60" s="1136"/>
      <c r="CU60" s="1136"/>
      <c r="CV60" s="1136"/>
      <c r="CW60" s="1136"/>
      <c r="CX60" s="1136"/>
      <c r="CY60" s="1136"/>
      <c r="CZ60" s="1136"/>
      <c r="DA60" s="1136"/>
      <c r="DB60" s="1136"/>
      <c r="DC60" s="1136"/>
      <c r="DD60" s="1136"/>
      <c r="DE60" s="1136"/>
      <c r="DF60" s="1136"/>
      <c r="DG60" s="1136"/>
      <c r="DH60" s="1136"/>
      <c r="DI60" s="1136"/>
      <c r="DJ60" s="1136"/>
      <c r="DK60" s="1136"/>
      <c r="DL60" s="1136"/>
      <c r="DM60" s="1136"/>
      <c r="DN60" s="1136"/>
      <c r="DO60" s="1136"/>
      <c r="DP60" s="1136"/>
      <c r="DQ60" s="1136"/>
      <c r="DR60" s="1136"/>
      <c r="DS60" s="1136"/>
      <c r="DT60" s="1136"/>
      <c r="DU60" s="1136"/>
      <c r="DV60" s="1136"/>
      <c r="DW60" s="1136"/>
      <c r="DX60" s="1136"/>
      <c r="DY60" s="1136"/>
      <c r="DZ60" s="1136"/>
      <c r="EA60" s="1136"/>
      <c r="EB60" s="1136"/>
      <c r="EC60" s="1136"/>
      <c r="ED60" s="1136"/>
      <c r="EE60" s="1136"/>
      <c r="EF60" s="1136"/>
      <c r="EG60" s="1136"/>
      <c r="EH60" s="1136"/>
      <c r="EI60" s="1136"/>
      <c r="EJ60" s="1136"/>
      <c r="EK60" s="1136"/>
      <c r="EL60" s="1136"/>
      <c r="EM60" s="1136"/>
      <c r="EN60" s="1136"/>
      <c r="EO60" s="1136"/>
      <c r="EP60" s="1136"/>
      <c r="EQ60" s="1136"/>
      <c r="ER60" s="1136"/>
      <c r="ES60" s="1136"/>
      <c r="ET60" s="1136"/>
      <c r="EU60" s="1136"/>
      <c r="EV60" s="1136"/>
      <c r="EW60" s="1136"/>
      <c r="EX60" s="1136"/>
      <c r="EY60" s="1136"/>
      <c r="EZ60" s="1136"/>
      <c r="FA60" s="1136"/>
      <c r="FB60" s="1136"/>
      <c r="FC60" s="1136"/>
      <c r="FD60" s="1136"/>
      <c r="FE60" s="1136"/>
      <c r="FF60" s="1136"/>
      <c r="FG60" s="1136"/>
      <c r="FH60" s="1136"/>
      <c r="FI60" s="1136"/>
      <c r="FJ60" s="1136"/>
      <c r="FK60" s="1136"/>
      <c r="FL60" s="1136"/>
      <c r="FM60" s="1136"/>
      <c r="FN60" s="1136"/>
      <c r="FO60" s="1136"/>
      <c r="FP60" s="1136"/>
      <c r="FQ60" s="1136"/>
      <c r="FR60" s="1136"/>
      <c r="FS60" s="1136"/>
      <c r="FT60" s="1136"/>
      <c r="FU60" s="1136"/>
      <c r="FV60" s="1136"/>
      <c r="FW60" s="1136"/>
      <c r="FX60" s="1136"/>
      <c r="FY60" s="1136"/>
      <c r="FZ60" s="1136"/>
      <c r="GA60" s="1136"/>
      <c r="GB60" s="1136"/>
      <c r="GC60" s="1136"/>
      <c r="GD60" s="1136"/>
      <c r="GE60" s="1136"/>
      <c r="GF60" s="1136"/>
      <c r="GG60" s="1136"/>
      <c r="GH60" s="1136"/>
      <c r="GI60" s="1136"/>
      <c r="GJ60" s="1136"/>
      <c r="GK60" s="1136"/>
      <c r="GL60" s="1136"/>
      <c r="GM60" s="1136"/>
      <c r="GN60" s="1136"/>
      <c r="GO60" s="1136"/>
      <c r="GP60" s="1136"/>
      <c r="GQ60" s="1136"/>
      <c r="GR60" s="1136"/>
      <c r="GS60" s="1136"/>
      <c r="GT60" s="1136"/>
      <c r="GU60" s="1136"/>
      <c r="GV60" s="1136"/>
      <c r="GW60" s="1136"/>
      <c r="GX60" s="1136"/>
      <c r="GY60" s="1136"/>
      <c r="GZ60" s="1136"/>
      <c r="HA60" s="1136"/>
      <c r="HB60" s="1136"/>
      <c r="HC60" s="1136"/>
      <c r="HD60" s="1136"/>
      <c r="HE60" s="1136"/>
      <c r="HF60" s="1136"/>
      <c r="HG60" s="1136"/>
      <c r="HH60" s="1136"/>
      <c r="HI60" s="1136"/>
      <c r="HJ60" s="1136"/>
      <c r="HK60" s="1136"/>
      <c r="HL60" s="1136"/>
      <c r="HM60" s="1136"/>
      <c r="HN60" s="1136"/>
      <c r="HO60" s="1136"/>
      <c r="HP60" s="1136"/>
      <c r="HQ60" s="1136"/>
      <c r="HR60" s="1136"/>
      <c r="HS60" s="1136"/>
      <c r="HT60" s="1136"/>
      <c r="HU60" s="1136"/>
      <c r="HV60" s="1136"/>
      <c r="HW60" s="1136"/>
      <c r="HX60" s="1136"/>
      <c r="HY60" s="1136"/>
      <c r="HZ60" s="1136"/>
      <c r="IA60" s="1136"/>
      <c r="IB60" s="1136"/>
      <c r="IC60" s="1136"/>
      <c r="ID60" s="1136"/>
      <c r="IE60" s="1136"/>
      <c r="IF60" s="1136"/>
      <c r="IG60" s="1136"/>
      <c r="IH60" s="1136"/>
      <c r="II60" s="1136"/>
      <c r="IJ60" s="1136"/>
      <c r="IK60" s="1136"/>
      <c r="IL60" s="1136"/>
      <c r="IM60" s="1136"/>
      <c r="IN60" s="1136"/>
      <c r="IO60" s="1136"/>
      <c r="IP60" s="1136"/>
      <c r="IQ60" s="1136"/>
      <c r="IR60" s="1136"/>
      <c r="IS60" s="1136"/>
      <c r="IT60" s="1136"/>
      <c r="IU60" s="1136"/>
      <c r="IV60" s="1136"/>
    </row>
    <row r="61" spans="1:256" ht="13.5" thickTop="1"/>
    <row r="62" spans="1:256">
      <c r="A62" s="1155" t="s">
        <v>316</v>
      </c>
      <c r="B62" s="916"/>
      <c r="C62" s="916"/>
      <c r="D62" s="916"/>
      <c r="E62" s="916"/>
      <c r="F62" s="916"/>
      <c r="G62" s="916"/>
      <c r="H62" s="916"/>
      <c r="I62" s="916"/>
    </row>
    <row r="63" spans="1:256" ht="27.75" customHeight="1">
      <c r="A63" s="1156">
        <v>1</v>
      </c>
      <c r="B63" s="2461" t="s">
        <v>1247</v>
      </c>
      <c r="C63" s="2461"/>
      <c r="D63" s="2461"/>
      <c r="E63" s="2461"/>
      <c r="F63" s="2461"/>
      <c r="G63" s="2461"/>
      <c r="H63" s="2461"/>
      <c r="I63" s="2461"/>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opLeftCell="A23" zoomScale="80" zoomScaleNormal="80" zoomScaleSheetLayoutView="80" workbookViewId="0">
      <selection activeCell="E34" sqref="E34"/>
    </sheetView>
  </sheetViews>
  <sheetFormatPr defaultColWidth="9.140625" defaultRowHeight="12.75"/>
  <cols>
    <col min="1" max="1" width="9.140625" style="1170"/>
    <col min="2" max="2" width="47.85546875" style="1158" customWidth="1"/>
    <col min="3" max="3" width="38.42578125" style="1158" customWidth="1"/>
    <col min="4" max="4" width="18.42578125" style="1158" customWidth="1"/>
    <col min="5" max="5" width="14.140625" style="1158" customWidth="1"/>
    <col min="6" max="6" width="15.140625" style="1158" customWidth="1"/>
    <col min="7" max="7" width="14.28515625" style="1158" customWidth="1"/>
    <col min="8" max="9" width="12.85546875" style="1158" customWidth="1"/>
    <col min="10" max="11" width="9.140625" style="1158"/>
    <col min="12" max="12" width="21.7109375" style="1159" customWidth="1"/>
    <col min="13" max="16384" width="9.140625" style="1158"/>
  </cols>
  <sheetData>
    <row r="1" spans="1:12" ht="15">
      <c r="A1" s="1157"/>
    </row>
    <row r="3" spans="1:12" s="1163" customFormat="1" ht="15">
      <c r="A3" s="1160"/>
      <c r="B3" s="2468" t="str">
        <f>+'PSO TCOS'!F4</f>
        <v xml:space="preserve">AEP West SPP Member Operating Companies </v>
      </c>
      <c r="C3" s="2468"/>
      <c r="D3" s="2468"/>
      <c r="E3" s="2468"/>
      <c r="F3" s="2468"/>
      <c r="G3" s="2468"/>
      <c r="H3" s="2468"/>
      <c r="I3" s="2468"/>
      <c r="J3" s="1161"/>
      <c r="K3" s="1161"/>
      <c r="L3" s="1162"/>
    </row>
    <row r="4" spans="1:12" s="1163" customFormat="1" ht="15">
      <c r="A4" s="1160"/>
      <c r="B4" s="2469" t="str">
        <f>+'PSO WS A-1 - Plant'!A3</f>
        <v xml:space="preserve">Actual / Projected 2018 Rate Year Cost of Service Formula Rate </v>
      </c>
      <c r="C4" s="2469"/>
      <c r="D4" s="2469"/>
      <c r="E4" s="2469"/>
      <c r="F4" s="2469"/>
      <c r="G4" s="2469"/>
      <c r="H4" s="2469"/>
      <c r="I4" s="2469"/>
      <c r="J4" s="1164"/>
      <c r="K4" s="1164"/>
      <c r="L4" s="1165"/>
    </row>
    <row r="5" spans="1:12" s="1163" customFormat="1" ht="15.75">
      <c r="A5" s="1160"/>
      <c r="B5" s="2470" t="s">
        <v>1339</v>
      </c>
      <c r="C5" s="2470"/>
      <c r="D5" s="2470"/>
      <c r="E5" s="2470"/>
      <c r="F5" s="2470"/>
      <c r="G5" s="2470"/>
      <c r="H5" s="2470"/>
      <c r="I5" s="2470"/>
      <c r="J5" s="1166"/>
      <c r="K5" s="1166"/>
      <c r="L5" s="1167"/>
    </row>
    <row r="6" spans="1:12" s="1163" customFormat="1" ht="15.75">
      <c r="A6" s="1160"/>
      <c r="B6" s="2471" t="str">
        <f>+'PSO TCOS'!F8</f>
        <v>PUBLIC SERVICE COMPANY OF OKLAHOMA</v>
      </c>
      <c r="C6" s="2471"/>
      <c r="D6" s="2471"/>
      <c r="E6" s="2471"/>
      <c r="F6" s="2471"/>
      <c r="G6" s="2471"/>
      <c r="H6" s="2471"/>
      <c r="I6" s="2471"/>
      <c r="J6" s="1168"/>
      <c r="K6" s="1168"/>
      <c r="L6" s="1169"/>
    </row>
    <row r="8" spans="1:12">
      <c r="B8" s="1158" t="s">
        <v>1255</v>
      </c>
    </row>
    <row r="9" spans="1:12" ht="25.5" customHeight="1">
      <c r="B9" s="2467" t="s">
        <v>1256</v>
      </c>
      <c r="C9" s="2467"/>
      <c r="D9" s="2467"/>
      <c r="E9" s="2467"/>
      <c r="F9" s="2467"/>
      <c r="G9" s="2467"/>
      <c r="H9" s="2467"/>
      <c r="I9" s="2467"/>
    </row>
    <row r="11" spans="1:12">
      <c r="B11" s="1171" t="s">
        <v>303</v>
      </c>
      <c r="C11" s="1172" t="s">
        <v>304</v>
      </c>
      <c r="D11" s="1172"/>
      <c r="E11" s="1172" t="s">
        <v>305</v>
      </c>
      <c r="F11" s="1172" t="s">
        <v>306</v>
      </c>
      <c r="G11" s="1172" t="s">
        <v>231</v>
      </c>
      <c r="H11" s="1172" t="s">
        <v>232</v>
      </c>
      <c r="I11" s="1172" t="s">
        <v>233</v>
      </c>
    </row>
    <row r="12" spans="1:12">
      <c r="A12" s="1173" t="s">
        <v>310</v>
      </c>
    </row>
    <row r="13" spans="1:12">
      <c r="A13" s="1174"/>
      <c r="E13" s="2472" t="s">
        <v>1251</v>
      </c>
      <c r="F13" s="2472"/>
      <c r="G13" s="2472"/>
      <c r="H13" s="2472"/>
      <c r="I13" s="2472"/>
    </row>
    <row r="14" spans="1:12" ht="15">
      <c r="A14" s="1174"/>
      <c r="B14" s="1175" t="s">
        <v>1252</v>
      </c>
      <c r="C14" s="1176" t="s">
        <v>347</v>
      </c>
      <c r="D14" s="1176" t="s">
        <v>260</v>
      </c>
      <c r="E14" s="1177">
        <v>1901001</v>
      </c>
      <c r="F14" s="1177">
        <v>2821001</v>
      </c>
      <c r="G14" s="1177">
        <v>2831001</v>
      </c>
      <c r="H14" s="1177" t="s">
        <v>1254</v>
      </c>
      <c r="I14" s="1177" t="s">
        <v>1254</v>
      </c>
    </row>
    <row r="15" spans="1:12" ht="25.5">
      <c r="A15" s="1174">
        <v>1</v>
      </c>
      <c r="B15" s="1178" t="s">
        <v>1286</v>
      </c>
      <c r="C15" s="1170" t="s">
        <v>1257</v>
      </c>
      <c r="D15" s="1170">
        <f>+SUM(E15:I15)</f>
        <v>0</v>
      </c>
      <c r="E15" s="1179">
        <v>0</v>
      </c>
      <c r="F15" s="1179">
        <v>0</v>
      </c>
      <c r="G15" s="1179">
        <v>0</v>
      </c>
      <c r="H15" s="1179"/>
      <c r="I15" s="1179"/>
    </row>
    <row r="16" spans="1:12">
      <c r="A16" s="1174">
        <f t="shared" ref="A16:A43" si="0">+A15+1</f>
        <v>2</v>
      </c>
      <c r="B16" s="1178" t="s">
        <v>1264</v>
      </c>
      <c r="C16" s="1180" t="s">
        <v>1338</v>
      </c>
      <c r="D16" s="1181"/>
      <c r="E16" s="1180">
        <v>5</v>
      </c>
      <c r="F16" s="1180">
        <v>5</v>
      </c>
      <c r="G16" s="1180">
        <v>5</v>
      </c>
      <c r="H16" s="1180">
        <v>5</v>
      </c>
      <c r="I16" s="1180">
        <v>5</v>
      </c>
    </row>
    <row r="17" spans="1:9">
      <c r="A17" s="1174">
        <f t="shared" si="0"/>
        <v>3</v>
      </c>
      <c r="B17" s="1182" t="s">
        <v>1253</v>
      </c>
      <c r="C17" s="1183" t="str">
        <f>"Line "&amp;A15&amp;" / Line "&amp;A16</f>
        <v>Line 1 / Line 2</v>
      </c>
      <c r="D17" s="1183">
        <f>+SUM(E17:I17)</f>
        <v>0</v>
      </c>
      <c r="E17" s="1184">
        <f>+E15/E16</f>
        <v>0</v>
      </c>
      <c r="F17" s="1184">
        <f>+F15/F16</f>
        <v>0</v>
      </c>
      <c r="G17" s="1184">
        <f>+G15/G16</f>
        <v>0</v>
      </c>
      <c r="H17" s="1184">
        <f>+H15/H16</f>
        <v>0</v>
      </c>
      <c r="I17" s="1184">
        <f>+I15/I16</f>
        <v>0</v>
      </c>
    </row>
    <row r="18" spans="1:9" ht="13.5" customHeight="1">
      <c r="A18" s="1174">
        <f t="shared" si="0"/>
        <v>4</v>
      </c>
      <c r="B18" s="1178" t="s">
        <v>1249</v>
      </c>
      <c r="C18" s="1170" t="s">
        <v>1257</v>
      </c>
      <c r="D18" s="1170">
        <f>+SUM(E18:I18)</f>
        <v>0</v>
      </c>
      <c r="E18" s="1179">
        <v>0</v>
      </c>
      <c r="F18" s="1179">
        <v>0</v>
      </c>
      <c r="G18" s="1179"/>
      <c r="H18" s="1179"/>
      <c r="I18" s="1179"/>
    </row>
    <row r="19" spans="1:9">
      <c r="A19" s="1174">
        <f t="shared" si="0"/>
        <v>5</v>
      </c>
      <c r="B19" s="1182" t="s">
        <v>1250</v>
      </c>
      <c r="C19" s="1183" t="str">
        <f>"Line "&amp;A17&amp;" + Line "&amp;A18</f>
        <v>Line 3 + Line 4</v>
      </c>
      <c r="D19" s="1183">
        <f>+SUM(E19:I19)</f>
        <v>0</v>
      </c>
      <c r="E19" s="1184">
        <f>+E17+E18</f>
        <v>0</v>
      </c>
      <c r="F19" s="1184">
        <f>+F17+F18</f>
        <v>0</v>
      </c>
      <c r="G19" s="1184">
        <f>+G17+G18</f>
        <v>0</v>
      </c>
      <c r="H19" s="1184">
        <f>+H17+H18</f>
        <v>0</v>
      </c>
      <c r="I19" s="1184">
        <f>+I17+I18</f>
        <v>0</v>
      </c>
    </row>
    <row r="20" spans="1:9">
      <c r="A20" s="1174"/>
      <c r="B20" s="1185"/>
    </row>
    <row r="21" spans="1:9" ht="25.5">
      <c r="A21" s="1174">
        <f>+A19+1</f>
        <v>6</v>
      </c>
      <c r="B21" s="1178" t="s">
        <v>1266</v>
      </c>
      <c r="C21" s="1179" t="s">
        <v>1268</v>
      </c>
      <c r="D21" s="1170">
        <f>+SUM(E21:I21)</f>
        <v>0</v>
      </c>
      <c r="F21" s="1158">
        <f>'PSO WS C-2 ADIT BOY'!H45</f>
        <v>0</v>
      </c>
      <c r="G21" s="1158">
        <f>+'PSO WS C-2 ADIT BOY'!H93</f>
        <v>0</v>
      </c>
    </row>
    <row r="22" spans="1:9" ht="25.5">
      <c r="A22" s="1174">
        <f t="shared" si="0"/>
        <v>7</v>
      </c>
      <c r="B22" s="1178" t="s">
        <v>1265</v>
      </c>
      <c r="C22" s="1170" t="str">
        <f>"Line "&amp;A15&amp;" - Line "&amp;A18</f>
        <v>Line 1 - Line 4</v>
      </c>
      <c r="D22" s="1170">
        <f t="shared" ref="D22:D23" si="1">+SUM(E22:I22)</f>
        <v>0</v>
      </c>
      <c r="E22" s="1158">
        <f>+E15+E18</f>
        <v>0</v>
      </c>
      <c r="F22" s="1158">
        <f>+F15-F18</f>
        <v>0</v>
      </c>
      <c r="G22" s="1158">
        <f>+G15-G18</f>
        <v>0</v>
      </c>
      <c r="H22" s="1158">
        <f>+H15-H18</f>
        <v>0</v>
      </c>
      <c r="I22" s="1158">
        <f>+I15-I18</f>
        <v>0</v>
      </c>
    </row>
    <row r="23" spans="1:9">
      <c r="A23" s="1174">
        <f t="shared" si="0"/>
        <v>8</v>
      </c>
      <c r="B23" s="1182" t="s">
        <v>1267</v>
      </c>
      <c r="C23" s="1183" t="str">
        <f>"Line "&amp;A21&amp;" - Line "&amp;A22</f>
        <v>Line 6 - Line 7</v>
      </c>
      <c r="D23" s="1183">
        <f t="shared" si="1"/>
        <v>0</v>
      </c>
      <c r="E23" s="1184">
        <f>+E21-E22</f>
        <v>0</v>
      </c>
      <c r="F23" s="1184">
        <f>+F21-F22</f>
        <v>0</v>
      </c>
      <c r="G23" s="1184">
        <f>+G21-G22</f>
        <v>0</v>
      </c>
      <c r="H23" s="1184">
        <f>+H21-H22</f>
        <v>0</v>
      </c>
      <c r="I23" s="1184">
        <f>+I21-I22</f>
        <v>0</v>
      </c>
    </row>
    <row r="24" spans="1:9">
      <c r="A24" s="1174"/>
      <c r="B24" s="1178"/>
    </row>
    <row r="25" spans="1:9" ht="25.5">
      <c r="A25" s="1174">
        <f>+A23+1</f>
        <v>9</v>
      </c>
      <c r="B25" s="1178" t="s">
        <v>1259</v>
      </c>
      <c r="C25" s="1179" t="s">
        <v>1260</v>
      </c>
      <c r="D25" s="1170">
        <f>+SUM(E25:I25)</f>
        <v>-60586888.049999997</v>
      </c>
      <c r="E25" s="1160">
        <v>0</v>
      </c>
      <c r="F25" s="1160">
        <f>+'PSO WS C-1 ADIT EOY'!H47+'PSO WS C-1 ADIT EOY'!H48</f>
        <v>-63159716</v>
      </c>
      <c r="G25" s="1160">
        <f>+'PSO WS C-1 ADIT EOY'!H93+'PSO WS C-1 ADIT EOY'!H94</f>
        <v>2572827.9500000002</v>
      </c>
      <c r="H25" s="1160"/>
      <c r="I25" s="1160"/>
    </row>
    <row r="26" spans="1:9" ht="25.5">
      <c r="A26" s="1174">
        <f t="shared" si="0"/>
        <v>10</v>
      </c>
      <c r="B26" s="1178" t="s">
        <v>1263</v>
      </c>
      <c r="C26" s="1170" t="str">
        <f>"Line "&amp;A15&amp;" - Line "&amp;A19</f>
        <v>Line 1 - Line 5</v>
      </c>
      <c r="D26" s="1170">
        <f t="shared" ref="D26:D27" si="2">+SUM(E26:I26)</f>
        <v>0</v>
      </c>
      <c r="E26" s="1186">
        <f>+E15-E19</f>
        <v>0</v>
      </c>
      <c r="F26" s="1186">
        <f>+F15-F19</f>
        <v>0</v>
      </c>
      <c r="G26" s="1186">
        <f>+G15-G19</f>
        <v>0</v>
      </c>
      <c r="H26" s="1186">
        <f>+H15-H19</f>
        <v>0</v>
      </c>
      <c r="I26" s="1186">
        <f>+I15-I19</f>
        <v>0</v>
      </c>
    </row>
    <row r="27" spans="1:9">
      <c r="A27" s="1174">
        <f t="shared" si="0"/>
        <v>11</v>
      </c>
      <c r="B27" s="1182" t="s">
        <v>1262</v>
      </c>
      <c r="C27" s="1183" t="str">
        <f>"Line "&amp;A25&amp;" - Line "&amp;A26</f>
        <v>Line 9 - Line 10</v>
      </c>
      <c r="D27" s="1183">
        <f t="shared" si="2"/>
        <v>-60586888.049999997</v>
      </c>
      <c r="E27" s="1184">
        <f>+E25-E26</f>
        <v>0</v>
      </c>
      <c r="F27" s="1184">
        <f>+F25-F26</f>
        <v>-63159716</v>
      </c>
      <c r="G27" s="1184">
        <f t="shared" ref="G27:I27" si="3">+G25-G26</f>
        <v>2572827.9500000002</v>
      </c>
      <c r="H27" s="1184">
        <f t="shared" si="3"/>
        <v>0</v>
      </c>
      <c r="I27" s="1184">
        <f t="shared" si="3"/>
        <v>0</v>
      </c>
    </row>
    <row r="28" spans="1:9">
      <c r="A28" s="1174"/>
    </row>
    <row r="29" spans="1:9">
      <c r="A29" s="1174"/>
    </row>
    <row r="30" spans="1:9">
      <c r="A30" s="1174"/>
      <c r="E30" s="2466" t="s">
        <v>1251</v>
      </c>
      <c r="F30" s="2466"/>
      <c r="G30" s="2466"/>
    </row>
    <row r="31" spans="1:9" ht="15">
      <c r="A31" s="1174"/>
      <c r="B31" s="1175" t="s">
        <v>1258</v>
      </c>
      <c r="C31" s="1176" t="s">
        <v>347</v>
      </c>
      <c r="D31" s="1176" t="s">
        <v>260</v>
      </c>
      <c r="E31" s="1187">
        <v>2821001</v>
      </c>
      <c r="F31" s="1187" t="s">
        <v>1254</v>
      </c>
      <c r="G31" s="1187" t="s">
        <v>1254</v>
      </c>
      <c r="H31" s="1188"/>
      <c r="I31" s="1188"/>
    </row>
    <row r="32" spans="1:9" ht="25.5">
      <c r="A32" s="1174">
        <f>+A27+1</f>
        <v>12</v>
      </c>
      <c r="B32" s="1178" t="s">
        <v>1286</v>
      </c>
      <c r="C32" s="1170" t="s">
        <v>1257</v>
      </c>
      <c r="D32" s="1170">
        <f t="shared" ref="D32:D43" si="4">+SUM(E32:I32)</f>
        <v>0</v>
      </c>
      <c r="E32" s="1179">
        <v>0</v>
      </c>
      <c r="F32" s="1179">
        <v>0</v>
      </c>
      <c r="G32" s="1179">
        <v>0</v>
      </c>
      <c r="H32" s="1188"/>
      <c r="I32" s="1188"/>
    </row>
    <row r="33" spans="1:10">
      <c r="A33" s="1174">
        <f>+A32+1</f>
        <v>13</v>
      </c>
      <c r="B33" s="1178" t="s">
        <v>1253</v>
      </c>
      <c r="C33" s="1170" t="s">
        <v>1257</v>
      </c>
      <c r="D33" s="1170">
        <f t="shared" si="4"/>
        <v>0</v>
      </c>
      <c r="E33" s="1179">
        <v>0</v>
      </c>
      <c r="F33" s="1179"/>
      <c r="G33" s="1179"/>
      <c r="H33" s="1188"/>
      <c r="I33" s="1188"/>
    </row>
    <row r="34" spans="1:10" ht="13.5" customHeight="1">
      <c r="A34" s="1174">
        <f t="shared" si="0"/>
        <v>14</v>
      </c>
      <c r="B34" s="1178" t="s">
        <v>1276</v>
      </c>
      <c r="C34" s="1170" t="s">
        <v>1257</v>
      </c>
      <c r="D34" s="1170">
        <f t="shared" si="4"/>
        <v>0</v>
      </c>
      <c r="E34" s="1179">
        <v>0</v>
      </c>
      <c r="F34" s="1179"/>
      <c r="G34" s="1179"/>
      <c r="H34" s="1188"/>
      <c r="I34" s="1188"/>
    </row>
    <row r="35" spans="1:10">
      <c r="A35" s="1174">
        <f t="shared" si="0"/>
        <v>15</v>
      </c>
      <c r="B35" s="1182" t="s">
        <v>1277</v>
      </c>
      <c r="C35" s="1183" t="str">
        <f>"Line "&amp;A33&amp;" + Line "&amp;A34</f>
        <v>Line 13 + Line 14</v>
      </c>
      <c r="D35" s="1183">
        <f t="shared" si="4"/>
        <v>0</v>
      </c>
      <c r="E35" s="1184">
        <f>+E33+E34</f>
        <v>0</v>
      </c>
      <c r="F35" s="1184">
        <f>+F33+F34</f>
        <v>0</v>
      </c>
      <c r="G35" s="1184"/>
      <c r="H35" s="1188"/>
      <c r="I35" s="1188"/>
    </row>
    <row r="36" spans="1:10">
      <c r="A36" s="1174"/>
      <c r="B36" s="1185"/>
      <c r="H36" s="1188"/>
      <c r="I36" s="1188"/>
    </row>
    <row r="37" spans="1:10" ht="25.5">
      <c r="A37" s="1174">
        <f>+A35+1</f>
        <v>16</v>
      </c>
      <c r="B37" s="1178" t="s">
        <v>1274</v>
      </c>
      <c r="C37" s="1179" t="s">
        <v>1273</v>
      </c>
      <c r="D37" s="1160">
        <f t="shared" si="4"/>
        <v>-4395006.42</v>
      </c>
      <c r="E37" s="1186">
        <f>+'PSO WS C-2 ADIT BOY'!H44</f>
        <v>-4395006.42</v>
      </c>
      <c r="F37" s="1186"/>
      <c r="G37" s="1186"/>
      <c r="H37" s="1188"/>
      <c r="I37" s="1188"/>
      <c r="J37" s="1188"/>
    </row>
    <row r="38" spans="1:10" ht="25.5">
      <c r="A38" s="1174">
        <f t="shared" si="0"/>
        <v>17</v>
      </c>
      <c r="B38" s="1178" t="s">
        <v>1263</v>
      </c>
      <c r="C38" s="1170" t="str">
        <f>"Line "&amp;A32&amp;" - Line "&amp;A34</f>
        <v>Line 12 - Line 14</v>
      </c>
      <c r="D38" s="1189">
        <f t="shared" si="4"/>
        <v>0</v>
      </c>
      <c r="E38" s="1186">
        <f>+E32-E34</f>
        <v>0</v>
      </c>
      <c r="F38" s="1186">
        <f>+F32-F34</f>
        <v>0</v>
      </c>
      <c r="G38" s="1186">
        <f>+G32-G34</f>
        <v>0</v>
      </c>
      <c r="H38" s="1188"/>
      <c r="I38" s="1188"/>
      <c r="J38" s="1188"/>
    </row>
    <row r="39" spans="1:10">
      <c r="A39" s="1174">
        <f t="shared" si="0"/>
        <v>18</v>
      </c>
      <c r="B39" s="1182" t="s">
        <v>1267</v>
      </c>
      <c r="C39" s="1183" t="str">
        <f>"Line "&amp;A37&amp;" - Line "&amp;A38</f>
        <v>Line 16 - Line 17</v>
      </c>
      <c r="D39" s="1190">
        <f t="shared" si="4"/>
        <v>-4395006.42</v>
      </c>
      <c r="E39" s="1184">
        <f>+E37-E38</f>
        <v>-4395006.42</v>
      </c>
      <c r="F39" s="1184">
        <f>+F37-F38</f>
        <v>0</v>
      </c>
      <c r="G39" s="1184">
        <f>+G37-G38</f>
        <v>0</v>
      </c>
      <c r="H39" s="1188"/>
      <c r="I39" s="1188"/>
      <c r="J39" s="1188"/>
    </row>
    <row r="40" spans="1:10">
      <c r="A40" s="1174"/>
      <c r="H40" s="1188"/>
      <c r="I40" s="1188"/>
      <c r="J40" s="1188"/>
    </row>
    <row r="41" spans="1:10" ht="25.5">
      <c r="A41" s="1174">
        <f>+A39+1</f>
        <v>19</v>
      </c>
      <c r="B41" s="1178" t="s">
        <v>1275</v>
      </c>
      <c r="C41" s="1179" t="s">
        <v>1261</v>
      </c>
      <c r="D41" s="1160">
        <f t="shared" si="4"/>
        <v>-333606253.13999999</v>
      </c>
      <c r="E41" s="1160">
        <f>+'PSO WS C-1 ADIT EOY'!H45+'PSO WS C-1 ADIT EOY'!H46</f>
        <v>-333606253.13999999</v>
      </c>
      <c r="F41" s="1160"/>
      <c r="G41" s="1160"/>
      <c r="H41" s="1188"/>
      <c r="I41" s="1188"/>
      <c r="J41" s="1188"/>
    </row>
    <row r="42" spans="1:10" ht="25.5">
      <c r="A42" s="1174">
        <f t="shared" si="0"/>
        <v>20</v>
      </c>
      <c r="B42" s="1178" t="s">
        <v>1263</v>
      </c>
      <c r="C42" s="1170" t="str">
        <f>"Line "&amp;A32&amp;" - Line "&amp;A35</f>
        <v>Line 12 - Line 15</v>
      </c>
      <c r="D42" s="1189">
        <f t="shared" si="4"/>
        <v>0</v>
      </c>
      <c r="E42" s="1160">
        <f>+E32-E35</f>
        <v>0</v>
      </c>
      <c r="F42" s="1160">
        <f>+F32-F35</f>
        <v>0</v>
      </c>
      <c r="G42" s="1160">
        <f>+G32-G35</f>
        <v>0</v>
      </c>
      <c r="H42" s="1188"/>
      <c r="I42" s="1188"/>
      <c r="J42" s="1188"/>
    </row>
    <row r="43" spans="1:10">
      <c r="A43" s="1174">
        <f t="shared" si="0"/>
        <v>21</v>
      </c>
      <c r="B43" s="1182" t="s">
        <v>1262</v>
      </c>
      <c r="C43" s="1183" t="str">
        <f>"Line "&amp;A41&amp;" - Line "&amp;A42</f>
        <v>Line 19 - Line 20</v>
      </c>
      <c r="D43" s="1190">
        <f t="shared" si="4"/>
        <v>-333606253.13999999</v>
      </c>
      <c r="E43" s="1184">
        <f>+E41-E42</f>
        <v>-333606253.13999999</v>
      </c>
      <c r="F43" s="1184">
        <f>+F41-F42</f>
        <v>0</v>
      </c>
      <c r="G43" s="1184">
        <f>+G41-G42</f>
        <v>0</v>
      </c>
      <c r="H43" s="1188"/>
      <c r="I43" s="1188"/>
    </row>
    <row r="44" spans="1:10">
      <c r="A44" s="1174"/>
      <c r="G44" s="1188"/>
      <c r="H44" s="1188"/>
      <c r="I44" s="1188"/>
    </row>
    <row r="45" spans="1:10">
      <c r="A45" s="1174"/>
    </row>
    <row r="46" spans="1:10" ht="15">
      <c r="A46" s="1174"/>
      <c r="B46" s="1175" t="s">
        <v>1281</v>
      </c>
      <c r="D46" s="1191" t="s">
        <v>1248</v>
      </c>
    </row>
    <row r="47" spans="1:10">
      <c r="A47" s="1174">
        <f>+A43+1</f>
        <v>22</v>
      </c>
      <c r="B47" s="1158" t="s">
        <v>1278</v>
      </c>
      <c r="C47" s="1170" t="str">
        <f>"Line "&amp;A17</f>
        <v>Line 3</v>
      </c>
      <c r="D47" s="1158">
        <f>+D17</f>
        <v>0</v>
      </c>
    </row>
    <row r="48" spans="1:10">
      <c r="A48" s="1174">
        <f>+A47+1</f>
        <v>23</v>
      </c>
      <c r="B48" s="1158" t="s">
        <v>1279</v>
      </c>
      <c r="C48" s="1170" t="str">
        <f>"Line "&amp;A33</f>
        <v>Line 13</v>
      </c>
      <c r="D48" s="1158">
        <f>+D33</f>
        <v>0</v>
      </c>
    </row>
    <row r="49" spans="1:4">
      <c r="A49" s="1174">
        <f>+A48+1</f>
        <v>24</v>
      </c>
      <c r="B49" s="1184" t="s">
        <v>1280</v>
      </c>
      <c r="C49" s="1183" t="str">
        <f>"Line "&amp;A47&amp;" + Line "&amp;A48</f>
        <v>Line 22 + Line 23</v>
      </c>
      <c r="D49" s="1184">
        <f>+D47+D48</f>
        <v>0</v>
      </c>
    </row>
  </sheetData>
  <mergeCells count="7">
    <mergeCell ref="E30:G30"/>
    <mergeCell ref="B9:I9"/>
    <mergeCell ref="B3:I3"/>
    <mergeCell ref="B4:I4"/>
    <mergeCell ref="B5:I5"/>
    <mergeCell ref="B6:I6"/>
    <mergeCell ref="E13:I13"/>
  </mergeCells>
  <pageMargins left="0.45" right="0.2" top="0.75" bottom="0.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4"/>
  <sheetViews>
    <sheetView topLeftCell="Q28" zoomScale="81" zoomScaleNormal="81" zoomScaleSheetLayoutView="80" zoomScalePageLayoutView="70" workbookViewId="0">
      <selection activeCell="AC33" sqref="AC33"/>
    </sheetView>
  </sheetViews>
  <sheetFormatPr defaultColWidth="11.42578125" defaultRowHeight="12.75"/>
  <cols>
    <col min="1" max="1" width="12.5703125" style="1266" customWidth="1"/>
    <col min="2" max="2" width="15.42578125" style="1193" customWidth="1"/>
    <col min="3" max="3" width="42.28515625" style="1193" customWidth="1"/>
    <col min="4" max="4" width="22.140625" style="1193" customWidth="1"/>
    <col min="5" max="5" width="21" style="1193" customWidth="1"/>
    <col min="6" max="6" width="1" style="1193" customWidth="1"/>
    <col min="7" max="7" width="24" style="1193" customWidth="1"/>
    <col min="8" max="8" width="1" style="1193" customWidth="1"/>
    <col min="9" max="9" width="19.140625" style="1193" customWidth="1"/>
    <col min="10" max="10" width="16.7109375" style="1193" customWidth="1"/>
    <col min="11" max="11" width="49.85546875" style="1193" customWidth="1"/>
    <col min="12" max="13" width="13.42578125" style="1193" customWidth="1"/>
    <col min="14" max="14" width="31" style="1193" customWidth="1"/>
    <col min="15" max="15" width="29.28515625" style="1193" customWidth="1"/>
    <col min="16" max="16" width="20.7109375" style="1193" customWidth="1"/>
    <col min="17" max="29" width="14.28515625" style="1193" customWidth="1"/>
    <col min="30" max="16384" width="11.42578125" style="1193"/>
  </cols>
  <sheetData>
    <row r="1" spans="1:29" ht="15">
      <c r="A1" s="1192"/>
      <c r="K1" s="1194"/>
      <c r="M1" s="1192"/>
      <c r="AC1" s="1194"/>
    </row>
    <row r="2" spans="1:29" ht="15">
      <c r="A2" s="2441" t="str">
        <f>+'PSO TCOS'!F4</f>
        <v xml:space="preserve">AEP West SPP Member Operating Companies </v>
      </c>
      <c r="B2" s="2441"/>
      <c r="C2" s="2441"/>
      <c r="D2" s="2441"/>
      <c r="E2" s="2441"/>
      <c r="F2" s="2441"/>
      <c r="G2" s="2441"/>
      <c r="H2" s="2441"/>
      <c r="I2" s="2441"/>
      <c r="J2" s="2441"/>
      <c r="K2" s="2441"/>
      <c r="L2" s="1195"/>
      <c r="M2" s="2441" t="str">
        <f>+A2</f>
        <v xml:space="preserve">AEP West SPP Member Operating Companies </v>
      </c>
      <c r="N2" s="2441"/>
      <c r="O2" s="2441"/>
      <c r="P2" s="2441"/>
      <c r="Q2" s="2441"/>
      <c r="R2" s="2441"/>
      <c r="S2" s="2441"/>
      <c r="T2" s="2441"/>
      <c r="U2" s="2441"/>
      <c r="V2" s="2441"/>
      <c r="W2" s="2441"/>
      <c r="X2" s="2441"/>
      <c r="Y2" s="2441"/>
    </row>
    <row r="3" spans="1:29" ht="15">
      <c r="A3" s="2441" t="str">
        <f>+'PSO WS A-1 - Plant'!A3</f>
        <v xml:space="preserve">Actual / Projected 2018 Rate Year Cost of Service Formula Rate </v>
      </c>
      <c r="B3" s="2441"/>
      <c r="C3" s="2441"/>
      <c r="D3" s="2441"/>
      <c r="E3" s="2441"/>
      <c r="F3" s="2441"/>
      <c r="G3" s="2441"/>
      <c r="H3" s="2441"/>
      <c r="I3" s="2441"/>
      <c r="J3" s="2441"/>
      <c r="K3" s="2441"/>
      <c r="L3" s="1196"/>
      <c r="M3" s="2441" t="str">
        <f>+A3</f>
        <v xml:space="preserve">Actual / Projected 2018 Rate Year Cost of Service Formula Rate </v>
      </c>
      <c r="N3" s="2441"/>
      <c r="O3" s="2441"/>
      <c r="P3" s="2441"/>
      <c r="Q3" s="2441"/>
      <c r="R3" s="2441"/>
      <c r="S3" s="2441"/>
      <c r="T3" s="2441"/>
      <c r="U3" s="2441"/>
      <c r="V3" s="2441"/>
      <c r="W3" s="2441"/>
      <c r="X3" s="2441"/>
      <c r="Y3" s="2441"/>
    </row>
    <row r="4" spans="1:29" ht="15.75">
      <c r="A4" s="2442" t="s">
        <v>1342</v>
      </c>
      <c r="B4" s="2441"/>
      <c r="C4" s="2441"/>
      <c r="D4" s="2441"/>
      <c r="E4" s="2441"/>
      <c r="F4" s="2441"/>
      <c r="G4" s="2441"/>
      <c r="H4" s="2441"/>
      <c r="I4" s="2441"/>
      <c r="J4" s="2441"/>
      <c r="K4" s="2441"/>
      <c r="L4" s="1197"/>
      <c r="M4" s="2441" t="str">
        <f>+A4</f>
        <v>Worksheet D - Materials and Supplies and Prepayments</v>
      </c>
      <c r="N4" s="2441"/>
      <c r="O4" s="2441"/>
      <c r="P4" s="2441"/>
      <c r="Q4" s="2441"/>
      <c r="R4" s="2441"/>
      <c r="S4" s="2441"/>
      <c r="T4" s="2441"/>
      <c r="U4" s="2441"/>
      <c r="V4" s="2441"/>
      <c r="W4" s="2441"/>
      <c r="X4" s="2441"/>
      <c r="Y4" s="2441"/>
    </row>
    <row r="5" spans="1:29" ht="15.75">
      <c r="A5" s="2479" t="str">
        <f>+'PSO TCOS'!F8</f>
        <v>PUBLIC SERVICE COMPANY OF OKLAHOMA</v>
      </c>
      <c r="B5" s="2479"/>
      <c r="C5" s="2479"/>
      <c r="D5" s="2479"/>
      <c r="E5" s="2479"/>
      <c r="F5" s="2479"/>
      <c r="G5" s="2479"/>
      <c r="H5" s="2479"/>
      <c r="I5" s="2479"/>
      <c r="J5" s="2479"/>
      <c r="K5" s="2479"/>
      <c r="L5" s="787"/>
      <c r="M5" s="2442" t="str">
        <f>+A5</f>
        <v>PUBLIC SERVICE COMPANY OF OKLAHOMA</v>
      </c>
      <c r="N5" s="2442"/>
      <c r="O5" s="2442"/>
      <c r="P5" s="2442"/>
      <c r="Q5" s="2442"/>
      <c r="R5" s="2442"/>
      <c r="S5" s="2442"/>
      <c r="T5" s="2442"/>
      <c r="U5" s="2442"/>
      <c r="V5" s="2442"/>
      <c r="W5" s="2442"/>
      <c r="X5" s="2442"/>
      <c r="Y5" s="2442"/>
    </row>
    <row r="6" spans="1:29" ht="15">
      <c r="A6" s="787"/>
      <c r="B6" s="787"/>
      <c r="C6" s="787"/>
      <c r="D6" s="787"/>
      <c r="E6" s="787"/>
      <c r="F6" s="787"/>
      <c r="G6" s="787"/>
      <c r="H6" s="1198"/>
      <c r="I6" s="1199"/>
      <c r="J6" s="1199"/>
      <c r="K6" s="1199"/>
      <c r="L6" s="1199"/>
      <c r="M6" s="787"/>
      <c r="N6" s="787"/>
      <c r="O6" s="787"/>
      <c r="P6" s="787"/>
      <c r="Q6" s="787"/>
      <c r="R6" s="787"/>
      <c r="S6" s="787"/>
      <c r="T6" s="787"/>
      <c r="U6" s="1198"/>
      <c r="V6" s="1199"/>
      <c r="W6" s="1199"/>
      <c r="X6" s="1199"/>
      <c r="Y6" s="1199"/>
    </row>
    <row r="7" spans="1:29" ht="12.75" customHeight="1">
      <c r="A7" s="1200"/>
      <c r="B7" s="1200" t="s">
        <v>303</v>
      </c>
      <c r="C7" s="1200" t="s">
        <v>304</v>
      </c>
      <c r="D7" s="1200" t="s">
        <v>207</v>
      </c>
      <c r="E7" s="1200" t="s">
        <v>306</v>
      </c>
      <c r="F7" s="1200"/>
      <c r="G7" s="1200" t="s">
        <v>231</v>
      </c>
      <c r="H7" s="1200"/>
      <c r="I7" s="1200" t="s">
        <v>232</v>
      </c>
      <c r="J7" s="1200" t="s">
        <v>233</v>
      </c>
      <c r="K7" s="1200" t="s">
        <v>238</v>
      </c>
      <c r="L7" s="1200"/>
      <c r="M7" s="1200" t="s">
        <v>303</v>
      </c>
      <c r="N7" s="1200" t="s">
        <v>304</v>
      </c>
      <c r="O7" s="1200" t="s">
        <v>207</v>
      </c>
      <c r="P7" s="1200" t="s">
        <v>306</v>
      </c>
      <c r="Q7" s="1200" t="s">
        <v>231</v>
      </c>
      <c r="R7" s="1200" t="s">
        <v>232</v>
      </c>
      <c r="S7" s="1200" t="s">
        <v>233</v>
      </c>
      <c r="T7" s="1200" t="s">
        <v>238</v>
      </c>
      <c r="U7" s="1200" t="s">
        <v>179</v>
      </c>
      <c r="V7" s="1200" t="s">
        <v>73</v>
      </c>
      <c r="W7" s="1200" t="s">
        <v>1290</v>
      </c>
      <c r="X7" s="1200" t="s">
        <v>559</v>
      </c>
      <c r="Y7" s="1200" t="s">
        <v>560</v>
      </c>
      <c r="Z7" s="1200" t="s">
        <v>1291</v>
      </c>
      <c r="AA7" s="1200" t="s">
        <v>561</v>
      </c>
      <c r="AB7" s="1200" t="s">
        <v>1293</v>
      </c>
      <c r="AC7" s="1200" t="s">
        <v>1296</v>
      </c>
    </row>
    <row r="8" spans="1:29">
      <c r="A8" s="1201"/>
      <c r="M8" s="1201"/>
    </row>
    <row r="9" spans="1:29" ht="18">
      <c r="A9" s="1201"/>
      <c r="B9" s="2476" t="s">
        <v>348</v>
      </c>
      <c r="C9" s="2476"/>
      <c r="D9" s="2476"/>
      <c r="E9" s="2476"/>
      <c r="F9" s="2476"/>
      <c r="G9" s="2476"/>
      <c r="H9" s="2476"/>
      <c r="I9" s="2476"/>
      <c r="J9" s="2476"/>
      <c r="K9" s="2476"/>
      <c r="M9" s="2476" t="s">
        <v>348</v>
      </c>
      <c r="N9" s="2476"/>
      <c r="O9" s="2476"/>
      <c r="P9" s="2476"/>
      <c r="Q9" s="2476"/>
      <c r="R9" s="2476"/>
      <c r="S9" s="2476"/>
      <c r="T9" s="2476"/>
      <c r="U9" s="2476"/>
      <c r="V9" s="2476"/>
      <c r="W9" s="2476"/>
      <c r="X9" s="2476"/>
      <c r="Y9" s="2476"/>
      <c r="Z9" s="2476"/>
      <c r="AA9" s="2476"/>
      <c r="AB9" s="2476"/>
      <c r="AC9" s="2476"/>
    </row>
    <row r="10" spans="1:29">
      <c r="A10" s="1201"/>
      <c r="I10" s="1106"/>
      <c r="J10" s="1106"/>
    </row>
    <row r="11" spans="1:29" ht="30" customHeight="1">
      <c r="A11" s="1202"/>
      <c r="B11" s="1203"/>
      <c r="C11" s="1204"/>
      <c r="D11" s="1205"/>
      <c r="E11" s="700"/>
      <c r="F11" s="700"/>
      <c r="G11" s="2477" t="str">
        <f>"Beginning/Average Balance for Rate Year "</f>
        <v xml:space="preserve">Beginning/Average Balance for Rate Year </v>
      </c>
      <c r="H11" s="1206"/>
      <c r="J11" s="1106"/>
      <c r="K11" s="1207"/>
      <c r="L11" s="1202"/>
      <c r="M11" s="1208"/>
      <c r="N11" s="1208"/>
      <c r="O11" s="1208"/>
      <c r="P11" s="1208"/>
      <c r="Q11" s="2474" t="s">
        <v>1289</v>
      </c>
      <c r="R11" s="2474"/>
      <c r="S11" s="2474"/>
      <c r="T11" s="2474"/>
      <c r="U11" s="2474"/>
      <c r="V11" s="2474"/>
      <c r="W11" s="2474"/>
      <c r="X11" s="2474"/>
      <c r="Y11" s="2474"/>
      <c r="Z11" s="2474"/>
      <c r="AA11" s="2474"/>
      <c r="AB11" s="2474"/>
      <c r="AC11" s="2474"/>
    </row>
    <row r="12" spans="1:29" ht="25.5">
      <c r="A12" s="1209" t="s">
        <v>1292</v>
      </c>
      <c r="B12" s="1210"/>
      <c r="C12" s="1203"/>
      <c r="D12" s="1211" t="s">
        <v>347</v>
      </c>
      <c r="E12" s="700"/>
      <c r="F12" s="700"/>
      <c r="G12" s="2478"/>
      <c r="H12" s="1212"/>
      <c r="J12" s="1106"/>
      <c r="K12" s="1213"/>
      <c r="L12" s="1202" t="s">
        <v>1292</v>
      </c>
      <c r="M12" s="1202" t="s">
        <v>308</v>
      </c>
      <c r="N12" s="1208"/>
      <c r="O12" s="1214" t="s">
        <v>1297</v>
      </c>
      <c r="P12" s="1214" t="s">
        <v>1388</v>
      </c>
      <c r="Q12" s="1215" t="str">
        <f>"December "&amp;'PSO TCOS'!$N$2-1</f>
        <v>December 2017</v>
      </c>
      <c r="R12" s="1215" t="str">
        <f>"January "&amp;'PSO TCOS'!$N$2</f>
        <v>January 2018</v>
      </c>
      <c r="S12" s="1215" t="str">
        <f>"February "&amp;'PSO TCOS'!$N$2</f>
        <v>February 2018</v>
      </c>
      <c r="T12" s="1215" t="str">
        <f>"March "&amp;'PSO TCOS'!$N$2</f>
        <v>March 2018</v>
      </c>
      <c r="U12" s="1215" t="str">
        <f>"April "&amp;'PSO TCOS'!$N$2</f>
        <v>April 2018</v>
      </c>
      <c r="V12" s="1215" t="str">
        <f>"May "&amp;'PSO TCOS'!$N$2</f>
        <v>May 2018</v>
      </c>
      <c r="W12" s="1215" t="str">
        <f>"June "&amp;'PSO TCOS'!$N$2</f>
        <v>June 2018</v>
      </c>
      <c r="X12" s="1215" t="str">
        <f>"July "&amp;'PSO TCOS'!$N$2</f>
        <v>July 2018</v>
      </c>
      <c r="Y12" s="1215" t="str">
        <f>"August "&amp;'PSO TCOS'!$N$2</f>
        <v>August 2018</v>
      </c>
      <c r="Z12" s="1215" t="str">
        <f>"September "&amp;'PSO TCOS'!$N$2</f>
        <v>September 2018</v>
      </c>
      <c r="AA12" s="1215" t="str">
        <f>"October "&amp;'PSO TCOS'!$N$2</f>
        <v>October 2018</v>
      </c>
      <c r="AB12" s="1215" t="str">
        <f>"November "&amp;'PSO TCOS'!$N$2</f>
        <v>November 2018</v>
      </c>
      <c r="AC12" s="1215" t="str">
        <f>"December "&amp;'PSO TCOS'!$N$2</f>
        <v>December 2018</v>
      </c>
    </row>
    <row r="13" spans="1:29">
      <c r="A13" s="1210"/>
      <c r="B13" s="1210"/>
      <c r="C13" s="1203"/>
      <c r="D13" s="1199"/>
      <c r="E13" s="700"/>
      <c r="F13" s="700"/>
      <c r="H13" s="1216"/>
      <c r="J13" s="1106"/>
      <c r="K13" s="1213"/>
      <c r="L13" s="1208"/>
      <c r="M13" s="1208"/>
      <c r="N13" s="1208"/>
      <c r="O13" s="1208"/>
      <c r="P13" s="1208"/>
      <c r="Q13" s="1208"/>
    </row>
    <row r="14" spans="1:29">
      <c r="A14" s="1210"/>
      <c r="B14" s="1210"/>
      <c r="D14" s="1217"/>
      <c r="E14" s="700"/>
      <c r="F14" s="700"/>
      <c r="G14" s="1033"/>
      <c r="H14" s="1033"/>
      <c r="K14" s="1033"/>
      <c r="L14" s="1208"/>
      <c r="M14" s="1208"/>
      <c r="N14" s="1208"/>
      <c r="O14" s="1208"/>
      <c r="P14" s="1208"/>
      <c r="Q14" s="1208"/>
    </row>
    <row r="15" spans="1:29">
      <c r="A15" s="1210"/>
      <c r="B15" s="1210"/>
      <c r="C15" s="1217"/>
      <c r="D15" s="1217"/>
      <c r="E15" s="700"/>
      <c r="F15" s="700"/>
      <c r="G15" s="1033"/>
      <c r="H15" s="1033"/>
      <c r="K15" s="1033"/>
      <c r="L15" s="1208"/>
      <c r="M15" s="1208"/>
      <c r="N15" s="1208"/>
      <c r="O15" s="1208"/>
      <c r="P15" s="1218"/>
      <c r="Q15" s="1208"/>
    </row>
    <row r="16" spans="1:29">
      <c r="A16" s="1210">
        <v>1</v>
      </c>
      <c r="B16" s="1210"/>
      <c r="C16" s="1217" t="s">
        <v>197</v>
      </c>
      <c r="D16" s="1219" t="s">
        <v>1344</v>
      </c>
      <c r="E16" s="700"/>
      <c r="F16" s="700"/>
      <c r="G16" s="1220">
        <f>P16</f>
        <v>1062416.5</v>
      </c>
      <c r="H16" s="1033"/>
      <c r="K16" s="1033"/>
      <c r="L16" s="1208">
        <v>1</v>
      </c>
      <c r="M16" s="1217" t="s">
        <v>197</v>
      </c>
      <c r="O16" s="1221" t="s">
        <v>135</v>
      </c>
      <c r="P16" s="1222">
        <f>+(Q16+AC16)/2</f>
        <v>1062416.5</v>
      </c>
      <c r="Q16" s="1065">
        <v>1739929</v>
      </c>
      <c r="R16" s="1223"/>
      <c r="S16" s="1223"/>
      <c r="T16" s="1223"/>
      <c r="U16" s="1223"/>
      <c r="V16" s="1223"/>
      <c r="W16" s="1223"/>
      <c r="X16" s="1223"/>
      <c r="Y16" s="1223"/>
      <c r="Z16" s="1223"/>
      <c r="AA16" s="1223"/>
      <c r="AB16" s="1223"/>
      <c r="AC16" s="1065">
        <v>384904</v>
      </c>
    </row>
    <row r="17" spans="1:31">
      <c r="A17" s="1210">
        <f>+A16+1</f>
        <v>2</v>
      </c>
      <c r="B17" s="1210"/>
      <c r="C17" s="1217" t="s">
        <v>198</v>
      </c>
      <c r="D17" s="1219" t="s">
        <v>1346</v>
      </c>
      <c r="E17" s="700"/>
      <c r="F17" s="700"/>
      <c r="G17" s="1220">
        <f>+P17</f>
        <v>311278</v>
      </c>
      <c r="H17" s="1216"/>
      <c r="J17" s="1106"/>
      <c r="K17" s="1213"/>
      <c r="L17" s="1210">
        <f>+L16+1</f>
        <v>2</v>
      </c>
      <c r="M17" s="1217" t="s">
        <v>198</v>
      </c>
      <c r="O17" s="1221" t="s">
        <v>136</v>
      </c>
      <c r="P17" s="1222">
        <f t="shared" ref="P17:P18" si="0">+(Q17+AC17)/2</f>
        <v>311278</v>
      </c>
      <c r="Q17" s="1073">
        <v>244679</v>
      </c>
      <c r="R17" s="1224"/>
      <c r="S17" s="1224"/>
      <c r="T17" s="1224"/>
      <c r="U17" s="1224"/>
      <c r="V17" s="1224"/>
      <c r="W17" s="1224"/>
      <c r="X17" s="1224"/>
      <c r="Y17" s="1224"/>
      <c r="Z17" s="1224"/>
      <c r="AA17" s="1224"/>
      <c r="AB17" s="1224"/>
      <c r="AC17" s="1073">
        <v>377877</v>
      </c>
    </row>
    <row r="18" spans="1:31">
      <c r="A18" s="1210">
        <f>+A17+1</f>
        <v>3</v>
      </c>
      <c r="B18" s="1210"/>
      <c r="C18" s="1225" t="s">
        <v>1343</v>
      </c>
      <c r="D18" s="1219" t="s">
        <v>1345</v>
      </c>
      <c r="E18" s="700"/>
      <c r="F18" s="700"/>
      <c r="G18" s="1220">
        <f>+P18</f>
        <v>0</v>
      </c>
      <c r="H18" s="1216"/>
      <c r="J18" s="1106"/>
      <c r="K18" s="1213"/>
      <c r="L18" s="1210">
        <f>+L17+1</f>
        <v>3</v>
      </c>
      <c r="M18" s="1225" t="s">
        <v>1343</v>
      </c>
      <c r="O18" s="1221" t="s">
        <v>137</v>
      </c>
      <c r="P18" s="1222">
        <f t="shared" si="0"/>
        <v>0</v>
      </c>
      <c r="Q18" s="1073">
        <v>0</v>
      </c>
      <c r="R18" s="1224"/>
      <c r="S18" s="1224"/>
      <c r="T18" s="1224"/>
      <c r="U18" s="1224"/>
      <c r="V18" s="1224"/>
      <c r="W18" s="1224"/>
      <c r="X18" s="1224"/>
      <c r="Y18" s="1224"/>
      <c r="Z18" s="1224"/>
      <c r="AA18" s="1224"/>
      <c r="AB18" s="1224"/>
      <c r="AC18" s="1073">
        <v>0</v>
      </c>
    </row>
    <row r="19" spans="1:31">
      <c r="A19" s="1193"/>
      <c r="G19" s="1220"/>
      <c r="K19" s="1213"/>
      <c r="M19" s="1208"/>
      <c r="N19" s="1208"/>
      <c r="O19" s="1208"/>
      <c r="P19" s="1218"/>
      <c r="Q19" s="1208"/>
    </row>
    <row r="20" spans="1:31" ht="18">
      <c r="A20" s="1210"/>
      <c r="B20" s="2475" t="s">
        <v>1288</v>
      </c>
      <c r="C20" s="2475"/>
      <c r="D20" s="2475"/>
      <c r="E20" s="2475"/>
      <c r="F20" s="2475"/>
      <c r="G20" s="2475"/>
      <c r="H20" s="2475"/>
      <c r="I20" s="2475"/>
      <c r="J20" s="2475"/>
      <c r="K20" s="2475"/>
      <c r="L20" s="1210"/>
      <c r="M20" s="1208"/>
      <c r="N20" s="1208"/>
      <c r="O20" s="1208"/>
      <c r="P20" s="1208"/>
      <c r="Q20" s="1208"/>
    </row>
    <row r="21" spans="1:31" ht="25.5" customHeight="1">
      <c r="A21" s="1210"/>
      <c r="B21" s="1226"/>
      <c r="C21" s="1033"/>
      <c r="D21" s="1033"/>
      <c r="E21" s="1227"/>
      <c r="G21" s="1227" t="s">
        <v>234</v>
      </c>
      <c r="I21" s="1226"/>
      <c r="J21" s="1226"/>
      <c r="K21" s="1036"/>
      <c r="L21" s="1210"/>
      <c r="M21" s="2475" t="s">
        <v>1288</v>
      </c>
      <c r="N21" s="2475"/>
      <c r="O21" s="2475"/>
      <c r="P21" s="2475"/>
      <c r="Q21" s="2475"/>
      <c r="R21" s="2475"/>
      <c r="S21" s="2475"/>
      <c r="T21" s="2475"/>
      <c r="U21" s="2475"/>
      <c r="V21" s="2475"/>
      <c r="W21" s="2475"/>
      <c r="X21" s="2475"/>
      <c r="Y21" s="2475"/>
      <c r="Z21" s="2475"/>
      <c r="AA21" s="2475"/>
      <c r="AB21" s="2475"/>
      <c r="AC21" s="2475"/>
    </row>
    <row r="22" spans="1:31" ht="25.5">
      <c r="A22" s="1210"/>
      <c r="B22" s="1228"/>
      <c r="C22" s="1229"/>
      <c r="D22" s="1209" t="s">
        <v>1389</v>
      </c>
      <c r="E22" s="1226" t="s">
        <v>200</v>
      </c>
      <c r="G22" s="1226" t="s">
        <v>257</v>
      </c>
      <c r="I22" s="1226" t="s">
        <v>195</v>
      </c>
      <c r="J22" s="1226" t="s">
        <v>302</v>
      </c>
      <c r="K22" s="1023"/>
      <c r="L22" s="1210"/>
      <c r="M22" s="1230" t="s">
        <v>1295</v>
      </c>
      <c r="N22" s="1208"/>
      <c r="O22" s="1208"/>
      <c r="P22" s="1208"/>
      <c r="Q22" s="2474" t="s">
        <v>1289</v>
      </c>
      <c r="R22" s="2474"/>
      <c r="S22" s="2474"/>
      <c r="T22" s="2474"/>
      <c r="U22" s="2474"/>
      <c r="V22" s="2474"/>
      <c r="W22" s="2474"/>
      <c r="X22" s="2474"/>
      <c r="Y22" s="2474"/>
      <c r="Z22" s="2474"/>
      <c r="AA22" s="2474"/>
      <c r="AB22" s="2474"/>
      <c r="AC22" s="2474"/>
    </row>
    <row r="23" spans="1:31" ht="25.5">
      <c r="A23" s="1209" t="s">
        <v>1292</v>
      </c>
      <c r="B23" s="1202" t="s">
        <v>237</v>
      </c>
      <c r="C23" s="1202" t="s">
        <v>308</v>
      </c>
      <c r="D23" s="1209" t="str">
        <f>"Source - Page 2 of 2. Col "&amp;P7</f>
        <v>Source - Page 2 of 2. Col (D)</v>
      </c>
      <c r="E23" s="1202" t="s">
        <v>180</v>
      </c>
      <c r="G23" s="1202" t="s">
        <v>196</v>
      </c>
      <c r="I23" s="1202" t="s">
        <v>196</v>
      </c>
      <c r="J23" s="1202" t="s">
        <v>196</v>
      </c>
      <c r="K23" s="1202" t="s">
        <v>219</v>
      </c>
      <c r="L23" s="1202" t="s">
        <v>1292</v>
      </c>
      <c r="M23" s="1202" t="s">
        <v>237</v>
      </c>
      <c r="N23" s="1202" t="s">
        <v>308</v>
      </c>
      <c r="O23" s="1211"/>
      <c r="P23" s="1214" t="s">
        <v>1388</v>
      </c>
      <c r="Q23" s="1215" t="str">
        <f>"December "&amp;'PSO TCOS'!$N$2-1</f>
        <v>December 2017</v>
      </c>
      <c r="R23" s="1215" t="str">
        <f>"January "&amp;'PSO TCOS'!$N$2</f>
        <v>January 2018</v>
      </c>
      <c r="S23" s="1215" t="str">
        <f>"February "&amp;'PSO TCOS'!$N$2</f>
        <v>February 2018</v>
      </c>
      <c r="T23" s="1215" t="str">
        <f>"March "&amp;'PSO TCOS'!$N$2</f>
        <v>March 2018</v>
      </c>
      <c r="U23" s="1215" t="str">
        <f>"April "&amp;'PSO TCOS'!$N$2</f>
        <v>April 2018</v>
      </c>
      <c r="V23" s="1215" t="str">
        <f>"May "&amp;'PSO TCOS'!$N$2</f>
        <v>May 2018</v>
      </c>
      <c r="W23" s="1215" t="str">
        <f>"June "&amp;'PSO TCOS'!$N$2</f>
        <v>June 2018</v>
      </c>
      <c r="X23" s="1215" t="str">
        <f>"July "&amp;'PSO TCOS'!$N$2</f>
        <v>July 2018</v>
      </c>
      <c r="Y23" s="1215" t="str">
        <f>"August "&amp;'PSO TCOS'!$N$2</f>
        <v>August 2018</v>
      </c>
      <c r="Z23" s="1215" t="str">
        <f>"September "&amp;'PSO TCOS'!$N$2</f>
        <v>September 2018</v>
      </c>
      <c r="AA23" s="1215" t="str">
        <f>"October "&amp;'PSO TCOS'!$N$2</f>
        <v>October 2018</v>
      </c>
      <c r="AB23" s="1215" t="str">
        <f>"November "&amp;'PSO TCOS'!$N$2</f>
        <v>November 2018</v>
      </c>
      <c r="AC23" s="1215" t="str">
        <f>"December "&amp;'PSO TCOS'!$N$2</f>
        <v>December 2018</v>
      </c>
      <c r="AD23" s="1208"/>
      <c r="AE23" s="1208"/>
    </row>
    <row r="24" spans="1:31">
      <c r="A24" s="1210"/>
      <c r="B24" s="1228"/>
      <c r="C24" s="1033"/>
      <c r="D24" s="1033"/>
      <c r="E24" s="1033"/>
      <c r="G24" s="1033"/>
      <c r="I24" s="1033"/>
      <c r="J24" s="1033"/>
      <c r="K24" s="1023"/>
      <c r="L24" s="1210"/>
      <c r="M24" s="1208"/>
      <c r="N24" s="1208"/>
      <c r="O24" s="1208"/>
      <c r="P24" s="1208"/>
      <c r="Q24" s="1208"/>
    </row>
    <row r="25" spans="1:31" ht="38.25">
      <c r="A25" s="1231">
        <f>+A18+1</f>
        <v>4</v>
      </c>
      <c r="B25" s="1232" t="s">
        <v>602</v>
      </c>
      <c r="C25" s="1232" t="s">
        <v>603</v>
      </c>
      <c r="D25" s="1233">
        <f>+P25</f>
        <v>881765</v>
      </c>
      <c r="E25" s="1220">
        <v>0</v>
      </c>
      <c r="F25" s="1234" t="e">
        <f>+#REF!</f>
        <v>#REF!</v>
      </c>
      <c r="G25" s="1109"/>
      <c r="H25" s="1234" t="e">
        <f>+#REF!</f>
        <v>#REF!</v>
      </c>
      <c r="I25" s="1235">
        <v>383400</v>
      </c>
      <c r="J25" s="1235">
        <v>498365</v>
      </c>
      <c r="K25" s="1236" t="s">
        <v>1787</v>
      </c>
      <c r="L25" s="1231">
        <f>+L18+1</f>
        <v>4</v>
      </c>
      <c r="M25" s="1232" t="str">
        <f t="shared" ref="M25:M49" si="1">+B25</f>
        <v>1650001</v>
      </c>
      <c r="N25" s="1232" t="str">
        <f t="shared" ref="N25:N49" si="2">+C25</f>
        <v>Prepaid Insurance</v>
      </c>
      <c r="O25" s="1232"/>
      <c r="P25" s="1222">
        <f t="shared" ref="P25:P49" si="3">+(Q25+AC25)/2</f>
        <v>881765</v>
      </c>
      <c r="Q25" s="1065">
        <v>894252</v>
      </c>
      <c r="R25" s="1223"/>
      <c r="S25" s="1223"/>
      <c r="T25" s="1223"/>
      <c r="U25" s="1223"/>
      <c r="V25" s="1223"/>
      <c r="W25" s="1223"/>
      <c r="X25" s="1223"/>
      <c r="Y25" s="1223"/>
      <c r="Z25" s="1223"/>
      <c r="AA25" s="1223"/>
      <c r="AB25" s="1223"/>
      <c r="AC25" s="1065">
        <v>869278</v>
      </c>
    </row>
    <row r="26" spans="1:31">
      <c r="A26" s="1231">
        <f t="shared" ref="A26:A49" si="4">+A25+1</f>
        <v>5</v>
      </c>
      <c r="B26" s="1232" t="s">
        <v>795</v>
      </c>
      <c r="C26" s="1232" t="s">
        <v>796</v>
      </c>
      <c r="D26" s="1220">
        <f t="shared" ref="D26:D44" si="5">+P26</f>
        <v>0</v>
      </c>
      <c r="E26" s="1220">
        <v>0</v>
      </c>
      <c r="F26" s="1234" t="e">
        <f>+#REF!</f>
        <v>#REF!</v>
      </c>
      <c r="G26" s="1109"/>
      <c r="H26" s="1234" t="e">
        <f>+#REF!</f>
        <v>#REF!</v>
      </c>
      <c r="I26" s="1109"/>
      <c r="J26" s="1109"/>
      <c r="K26" s="1236"/>
      <c r="L26" s="1231">
        <f t="shared" ref="L26:L49" si="6">+L25+1</f>
        <v>5</v>
      </c>
      <c r="M26" s="1232" t="str">
        <f t="shared" si="1"/>
        <v>1650004</v>
      </c>
      <c r="N26" s="1232" t="str">
        <f t="shared" si="2"/>
        <v>Prepaid Interest</v>
      </c>
      <c r="O26" s="1232"/>
      <c r="P26" s="1222">
        <f t="shared" si="3"/>
        <v>0</v>
      </c>
      <c r="Q26" s="1065">
        <v>0</v>
      </c>
      <c r="R26" s="1223"/>
      <c r="S26" s="1223"/>
      <c r="T26" s="1223"/>
      <c r="U26" s="1223"/>
      <c r="V26" s="1223"/>
      <c r="W26" s="1223"/>
      <c r="X26" s="1223"/>
      <c r="Y26" s="1223"/>
      <c r="Z26" s="1223"/>
      <c r="AA26" s="1223"/>
      <c r="AB26" s="1223"/>
      <c r="AC26" s="1065">
        <v>0</v>
      </c>
    </row>
    <row r="27" spans="1:31">
      <c r="A27" s="1231">
        <f t="shared" si="4"/>
        <v>6</v>
      </c>
      <c r="B27" s="1237" t="s">
        <v>604</v>
      </c>
      <c r="C27" s="1232" t="s">
        <v>605</v>
      </c>
      <c r="D27" s="1220">
        <f t="shared" si="5"/>
        <v>0</v>
      </c>
      <c r="E27" s="1220">
        <v>0</v>
      </c>
      <c r="F27" s="1234" t="e">
        <f>+#REF!</f>
        <v>#REF!</v>
      </c>
      <c r="G27" s="1109"/>
      <c r="H27" s="1234" t="e">
        <f>+#REF!</f>
        <v>#REF!</v>
      </c>
      <c r="I27" s="1109"/>
      <c r="J27" s="1109"/>
      <c r="K27" s="1236" t="s">
        <v>1788</v>
      </c>
      <c r="L27" s="1231">
        <f t="shared" si="6"/>
        <v>6</v>
      </c>
      <c r="M27" s="1238" t="str">
        <f t="shared" si="1"/>
        <v>1650005</v>
      </c>
      <c r="N27" s="1232" t="str">
        <f t="shared" si="2"/>
        <v>Prepaid Employee Benefits</v>
      </c>
      <c r="O27" s="1232"/>
      <c r="P27" s="1222">
        <f t="shared" si="3"/>
        <v>0</v>
      </c>
      <c r="Q27" s="1065">
        <v>0</v>
      </c>
      <c r="R27" s="1223"/>
      <c r="S27" s="1223"/>
      <c r="T27" s="1223"/>
      <c r="U27" s="1223"/>
      <c r="V27" s="1223"/>
      <c r="W27" s="1223"/>
      <c r="X27" s="1223"/>
      <c r="Y27" s="1223"/>
      <c r="Z27" s="1223"/>
      <c r="AA27" s="1223"/>
      <c r="AB27" s="1223"/>
      <c r="AC27" s="1065">
        <v>0</v>
      </c>
    </row>
    <row r="28" spans="1:31" ht="76.5">
      <c r="A28" s="1231">
        <f t="shared" si="4"/>
        <v>7</v>
      </c>
      <c r="B28" s="1232" t="s">
        <v>606</v>
      </c>
      <c r="C28" s="1232" t="s">
        <v>607</v>
      </c>
      <c r="D28" s="1220">
        <f t="shared" si="5"/>
        <v>2807353.5</v>
      </c>
      <c r="E28" s="1220">
        <f>+D28</f>
        <v>2807353.5</v>
      </c>
      <c r="F28" s="1234" t="e">
        <f>+#REF!</f>
        <v>#REF!</v>
      </c>
      <c r="G28" s="1109"/>
      <c r="H28" s="1234" t="e">
        <f>+#REF!</f>
        <v>#REF!</v>
      </c>
      <c r="I28" s="1109"/>
      <c r="J28" s="1109">
        <v>0</v>
      </c>
      <c r="K28" s="1236" t="s">
        <v>1789</v>
      </c>
      <c r="L28" s="1231">
        <f t="shared" si="6"/>
        <v>7</v>
      </c>
      <c r="M28" s="1238" t="str">
        <f t="shared" si="1"/>
        <v>1650006</v>
      </c>
      <c r="N28" s="1232" t="str">
        <f t="shared" si="2"/>
        <v>Other Prepayments</v>
      </c>
      <c r="O28" s="1232"/>
      <c r="P28" s="1222">
        <f t="shared" si="3"/>
        <v>2807353.5</v>
      </c>
      <c r="Q28" s="1065">
        <v>4004763</v>
      </c>
      <c r="R28" s="1223"/>
      <c r="S28" s="1223"/>
      <c r="T28" s="1223"/>
      <c r="U28" s="1223"/>
      <c r="V28" s="1223"/>
      <c r="W28" s="1223"/>
      <c r="X28" s="1223"/>
      <c r="Y28" s="1223"/>
      <c r="Z28" s="1223"/>
      <c r="AA28" s="1223"/>
      <c r="AB28" s="1223"/>
      <c r="AC28" s="1065">
        <v>1609944</v>
      </c>
    </row>
    <row r="29" spans="1:31">
      <c r="A29" s="1231">
        <f t="shared" si="4"/>
        <v>8</v>
      </c>
      <c r="B29" s="1232" t="s">
        <v>608</v>
      </c>
      <c r="C29" s="1232" t="s">
        <v>1020</v>
      </c>
      <c r="D29" s="1109">
        <f t="shared" si="5"/>
        <v>137073.5</v>
      </c>
      <c r="E29" s="1109">
        <f>+D29</f>
        <v>137073.5</v>
      </c>
      <c r="F29" s="1234" t="e">
        <f>+#REF!</f>
        <v>#REF!</v>
      </c>
      <c r="G29" s="1109"/>
      <c r="H29" s="1234" t="e">
        <f>+#REF!</f>
        <v>#REF!</v>
      </c>
      <c r="I29" s="1109"/>
      <c r="J29" s="1109"/>
      <c r="K29" s="1236" t="s">
        <v>1790</v>
      </c>
      <c r="L29" s="1231">
        <f t="shared" si="6"/>
        <v>8</v>
      </c>
      <c r="M29" s="1238" t="str">
        <f t="shared" si="1"/>
        <v>1650009</v>
      </c>
      <c r="N29" s="1232" t="str">
        <f t="shared" si="2"/>
        <v>Prepaid Carry Cost-Factored</v>
      </c>
      <c r="O29" s="1232"/>
      <c r="P29" s="1222">
        <f t="shared" si="3"/>
        <v>137073.5</v>
      </c>
      <c r="Q29" s="1065">
        <v>116117</v>
      </c>
      <c r="R29" s="1223"/>
      <c r="S29" s="1223"/>
      <c r="T29" s="1223"/>
      <c r="U29" s="1223"/>
      <c r="V29" s="1223"/>
      <c r="W29" s="1223"/>
      <c r="X29" s="1223"/>
      <c r="Y29" s="1223"/>
      <c r="Z29" s="1223"/>
      <c r="AA29" s="1223"/>
      <c r="AB29" s="1223"/>
      <c r="AC29" s="1065">
        <v>158030</v>
      </c>
    </row>
    <row r="30" spans="1:31">
      <c r="A30" s="1231">
        <f t="shared" si="4"/>
        <v>9</v>
      </c>
      <c r="B30" s="1232" t="s">
        <v>609</v>
      </c>
      <c r="C30" s="1232" t="s">
        <v>610</v>
      </c>
      <c r="D30" s="1239">
        <f t="shared" si="5"/>
        <v>89001191</v>
      </c>
      <c r="E30" s="1239"/>
      <c r="F30" s="1234"/>
      <c r="G30" s="1239"/>
      <c r="H30" s="1240"/>
      <c r="I30" s="1239"/>
      <c r="J30" s="1239">
        <f>D30</f>
        <v>89001191</v>
      </c>
      <c r="K30" s="1236" t="s">
        <v>1791</v>
      </c>
      <c r="L30" s="1231">
        <f t="shared" si="6"/>
        <v>9</v>
      </c>
      <c r="M30" s="1238" t="str">
        <f t="shared" si="1"/>
        <v>1650010</v>
      </c>
      <c r="N30" s="1232" t="str">
        <f t="shared" si="2"/>
        <v>Prepaid Pension Benefits</v>
      </c>
      <c r="O30" s="1232"/>
      <c r="P30" s="1222">
        <f t="shared" si="3"/>
        <v>89001191</v>
      </c>
      <c r="Q30" s="1065">
        <v>91476551</v>
      </c>
      <c r="R30" s="1223"/>
      <c r="S30" s="1223"/>
      <c r="T30" s="1223"/>
      <c r="U30" s="1223"/>
      <c r="V30" s="1223"/>
      <c r="W30" s="1223"/>
      <c r="X30" s="1223"/>
      <c r="Y30" s="1223"/>
      <c r="Z30" s="1223"/>
      <c r="AA30" s="1223"/>
      <c r="AB30" s="1223"/>
      <c r="AC30" s="1065">
        <v>86525831</v>
      </c>
    </row>
    <row r="31" spans="1:31">
      <c r="A31" s="1231">
        <f t="shared" si="4"/>
        <v>10</v>
      </c>
      <c r="B31" s="1237" t="s">
        <v>1392</v>
      </c>
      <c r="C31" s="1232" t="s">
        <v>611</v>
      </c>
      <c r="D31" s="1109">
        <f t="shared" si="5"/>
        <v>2035943.425</v>
      </c>
      <c r="E31" s="1109"/>
      <c r="F31" s="1234"/>
      <c r="G31" s="1109"/>
      <c r="H31" s="1240"/>
      <c r="I31" s="1109">
        <f>D31</f>
        <v>2035943.425</v>
      </c>
      <c r="J31" s="1109"/>
      <c r="K31" s="1236" t="s">
        <v>611</v>
      </c>
      <c r="L31" s="1231">
        <f t="shared" si="6"/>
        <v>10</v>
      </c>
      <c r="M31" s="1238" t="str">
        <f t="shared" si="1"/>
        <v>165001117/18</v>
      </c>
      <c r="N31" s="1232" t="str">
        <f t="shared" si="2"/>
        <v>Prepaid Sales Taxes</v>
      </c>
      <c r="O31" s="1232"/>
      <c r="P31" s="1222">
        <f t="shared" si="3"/>
        <v>2035943.425</v>
      </c>
      <c r="Q31" s="1065">
        <v>1911803</v>
      </c>
      <c r="R31" s="1223"/>
      <c r="S31" s="1223"/>
      <c r="T31" s="1223"/>
      <c r="U31" s="1223"/>
      <c r="V31" s="1223"/>
      <c r="W31" s="1223"/>
      <c r="X31" s="1223"/>
      <c r="Y31" s="1223"/>
      <c r="Z31" s="1223"/>
      <c r="AA31" s="1223"/>
      <c r="AB31" s="1223"/>
      <c r="AC31" s="1065">
        <v>2160083.85</v>
      </c>
    </row>
    <row r="32" spans="1:31">
      <c r="A32" s="1231">
        <f t="shared" si="4"/>
        <v>11</v>
      </c>
      <c r="B32" s="1237" t="s">
        <v>1391</v>
      </c>
      <c r="C32" s="1232" t="s">
        <v>612</v>
      </c>
      <c r="D32" s="1109">
        <f t="shared" si="5"/>
        <v>185769.245</v>
      </c>
      <c r="E32" s="1109">
        <f>+D32</f>
        <v>185769.245</v>
      </c>
      <c r="F32" s="1234"/>
      <c r="G32" s="1109"/>
      <c r="H32" s="1240"/>
      <c r="I32" s="1241"/>
      <c r="J32" s="1241"/>
      <c r="K32" s="1236" t="s">
        <v>612</v>
      </c>
      <c r="L32" s="1231">
        <f t="shared" si="6"/>
        <v>11</v>
      </c>
      <c r="M32" s="1238" t="str">
        <f t="shared" si="1"/>
        <v>165001217/18</v>
      </c>
      <c r="N32" s="1232" t="str">
        <f t="shared" si="2"/>
        <v>Prepaid Use Taxes</v>
      </c>
      <c r="O32" s="1232"/>
      <c r="P32" s="1222">
        <f t="shared" si="3"/>
        <v>185769.245</v>
      </c>
      <c r="Q32" s="1065">
        <v>252290</v>
      </c>
      <c r="R32" s="1223"/>
      <c r="S32" s="1223"/>
      <c r="T32" s="1223"/>
      <c r="U32" s="1223"/>
      <c r="V32" s="1223"/>
      <c r="W32" s="1223"/>
      <c r="X32" s="1223"/>
      <c r="Y32" s="1223"/>
      <c r="Z32" s="1223"/>
      <c r="AA32" s="1223"/>
      <c r="AB32" s="1223"/>
      <c r="AC32" s="1065">
        <v>119248.49</v>
      </c>
    </row>
    <row r="33" spans="1:29" ht="37.5" customHeight="1">
      <c r="A33" s="1231">
        <f t="shared" si="4"/>
        <v>12</v>
      </c>
      <c r="B33" s="1232" t="s">
        <v>613</v>
      </c>
      <c r="C33" s="1232" t="s">
        <v>614</v>
      </c>
      <c r="D33" s="1109">
        <f t="shared" si="5"/>
        <v>-89001191</v>
      </c>
      <c r="E33" s="1109">
        <f>D33</f>
        <v>-89001191</v>
      </c>
      <c r="F33" s="1234"/>
      <c r="G33" s="1109"/>
      <c r="H33" s="1240"/>
      <c r="I33" s="1109"/>
      <c r="J33" s="1109"/>
      <c r="K33" s="1236" t="s">
        <v>1792</v>
      </c>
      <c r="L33" s="1231">
        <f t="shared" si="6"/>
        <v>12</v>
      </c>
      <c r="M33" s="1238" t="str">
        <f t="shared" si="1"/>
        <v>1650014</v>
      </c>
      <c r="N33" s="1232" t="str">
        <f t="shared" si="2"/>
        <v>FAS 158 Qual Contra Asset</v>
      </c>
      <c r="O33" s="1232"/>
      <c r="P33" s="1222">
        <f t="shared" si="3"/>
        <v>-89001191</v>
      </c>
      <c r="Q33" s="1065">
        <v>-91476551</v>
      </c>
      <c r="R33" s="1223"/>
      <c r="S33" s="1223"/>
      <c r="T33" s="1223"/>
      <c r="U33" s="1223"/>
      <c r="V33" s="1223"/>
      <c r="W33" s="1223"/>
      <c r="X33" s="1223"/>
      <c r="Y33" s="1223"/>
      <c r="Z33" s="1223"/>
      <c r="AA33" s="1223"/>
      <c r="AB33" s="1223"/>
      <c r="AC33" s="1065">
        <v>-86525831</v>
      </c>
    </row>
    <row r="34" spans="1:29">
      <c r="A34" s="1231">
        <f t="shared" si="4"/>
        <v>13</v>
      </c>
      <c r="B34" s="1242">
        <v>1650016</v>
      </c>
      <c r="C34" s="1232" t="s">
        <v>797</v>
      </c>
      <c r="D34" s="1109">
        <f t="shared" si="5"/>
        <v>0</v>
      </c>
      <c r="E34" s="1109">
        <f>+D34</f>
        <v>0</v>
      </c>
      <c r="F34" s="1234"/>
      <c r="G34" s="1109"/>
      <c r="H34" s="1240"/>
      <c r="I34" s="1243"/>
      <c r="J34" s="1243"/>
      <c r="K34" s="1236" t="s">
        <v>1793</v>
      </c>
      <c r="L34" s="1231">
        <f t="shared" si="6"/>
        <v>13</v>
      </c>
      <c r="M34" s="1238">
        <f t="shared" si="1"/>
        <v>1650016</v>
      </c>
      <c r="N34" s="1232" t="str">
        <f t="shared" si="2"/>
        <v>FAS 112 ASSETS</v>
      </c>
      <c r="O34" s="1232"/>
      <c r="P34" s="1222">
        <f t="shared" si="3"/>
        <v>0</v>
      </c>
      <c r="Q34" s="1065">
        <v>0</v>
      </c>
      <c r="R34" s="1223"/>
      <c r="S34" s="1223"/>
      <c r="T34" s="1223"/>
      <c r="U34" s="1223"/>
      <c r="V34" s="1223"/>
      <c r="W34" s="1223"/>
      <c r="X34" s="1223"/>
      <c r="Y34" s="1223"/>
      <c r="Z34" s="1223"/>
      <c r="AA34" s="1223"/>
      <c r="AB34" s="1223"/>
      <c r="AC34" s="1065">
        <v>0</v>
      </c>
    </row>
    <row r="35" spans="1:29">
      <c r="A35" s="1231">
        <f t="shared" si="4"/>
        <v>14</v>
      </c>
      <c r="B35" s="1242">
        <v>1650021</v>
      </c>
      <c r="C35" s="1232" t="s">
        <v>615</v>
      </c>
      <c r="D35" s="1109">
        <f t="shared" si="5"/>
        <v>867822.5</v>
      </c>
      <c r="E35" s="1109"/>
      <c r="F35" s="1234"/>
      <c r="G35" s="1109"/>
      <c r="H35" s="1240"/>
      <c r="I35" s="1235">
        <v>265895</v>
      </c>
      <c r="J35" s="1235">
        <v>601927.5</v>
      </c>
      <c r="K35" s="1236" t="s">
        <v>1794</v>
      </c>
      <c r="L35" s="1231">
        <f t="shared" si="6"/>
        <v>14</v>
      </c>
      <c r="M35" s="1238">
        <f t="shared" si="1"/>
        <v>1650021</v>
      </c>
      <c r="N35" s="1232" t="str">
        <f t="shared" si="2"/>
        <v>Prepaid Insurance - EIS</v>
      </c>
      <c r="O35" s="1232"/>
      <c r="P35" s="1222">
        <f t="shared" si="3"/>
        <v>867822.5</v>
      </c>
      <c r="Q35" s="1065">
        <v>699850</v>
      </c>
      <c r="R35" s="1223"/>
      <c r="S35" s="1223"/>
      <c r="T35" s="1223"/>
      <c r="U35" s="1223"/>
      <c r="V35" s="1223"/>
      <c r="W35" s="1223"/>
      <c r="X35" s="1223"/>
      <c r="Y35" s="1223"/>
      <c r="Z35" s="1223"/>
      <c r="AA35" s="1223"/>
      <c r="AB35" s="1223"/>
      <c r="AC35" s="1065">
        <v>1035795</v>
      </c>
    </row>
    <row r="36" spans="1:29">
      <c r="A36" s="1231">
        <f t="shared" si="4"/>
        <v>15</v>
      </c>
      <c r="B36" s="1242">
        <v>1650023</v>
      </c>
      <c r="C36" s="1232" t="s">
        <v>798</v>
      </c>
      <c r="D36" s="1109">
        <f t="shared" si="5"/>
        <v>68074.5</v>
      </c>
      <c r="E36" s="1109">
        <f>+D36</f>
        <v>68074.5</v>
      </c>
      <c r="F36" s="1234"/>
      <c r="G36" s="1109"/>
      <c r="H36" s="1240"/>
      <c r="I36" s="1109"/>
      <c r="J36" s="1109"/>
      <c r="K36" s="1063" t="s">
        <v>1795</v>
      </c>
      <c r="L36" s="1231">
        <f t="shared" si="6"/>
        <v>15</v>
      </c>
      <c r="M36" s="1238">
        <f t="shared" si="1"/>
        <v>1650023</v>
      </c>
      <c r="N36" s="1232" t="str">
        <f t="shared" si="2"/>
        <v>Prepaid Leases</v>
      </c>
      <c r="O36" s="1232"/>
      <c r="P36" s="1222">
        <f t="shared" si="3"/>
        <v>68074.5</v>
      </c>
      <c r="Q36" s="1065">
        <v>64328</v>
      </c>
      <c r="R36" s="1223"/>
      <c r="S36" s="1223"/>
      <c r="T36" s="1223"/>
      <c r="U36" s="1223"/>
      <c r="V36" s="1223"/>
      <c r="W36" s="1223"/>
      <c r="X36" s="1223"/>
      <c r="Y36" s="1223"/>
      <c r="Z36" s="1223"/>
      <c r="AA36" s="1223"/>
      <c r="AB36" s="1223"/>
      <c r="AC36" s="1065">
        <v>71821</v>
      </c>
    </row>
    <row r="37" spans="1:29">
      <c r="A37" s="1231">
        <f t="shared" si="4"/>
        <v>16</v>
      </c>
      <c r="B37" s="1242">
        <v>1650028</v>
      </c>
      <c r="C37" s="1232" t="s">
        <v>1021</v>
      </c>
      <c r="D37" s="1109">
        <f t="shared" si="5"/>
        <v>0</v>
      </c>
      <c r="E37" s="1109">
        <f>+D37</f>
        <v>0</v>
      </c>
      <c r="F37" s="1234"/>
      <c r="G37" s="1109"/>
      <c r="H37" s="1240"/>
      <c r="I37" s="700"/>
      <c r="J37" s="700"/>
      <c r="K37" s="1063"/>
      <c r="L37" s="1231">
        <f t="shared" si="6"/>
        <v>16</v>
      </c>
      <c r="M37" s="1238">
        <f t="shared" si="1"/>
        <v>1650028</v>
      </c>
      <c r="N37" s="1232" t="str">
        <f t="shared" si="2"/>
        <v>Trinity Rail Car Lease - Non-current</v>
      </c>
      <c r="O37" s="1232"/>
      <c r="P37" s="1222">
        <f t="shared" si="3"/>
        <v>0</v>
      </c>
      <c r="Q37" s="1065">
        <v>0</v>
      </c>
      <c r="R37" s="1223"/>
      <c r="S37" s="1223"/>
      <c r="T37" s="1223"/>
      <c r="U37" s="1223"/>
      <c r="V37" s="1223"/>
      <c r="W37" s="1223"/>
      <c r="X37" s="1223"/>
      <c r="Y37" s="1223"/>
      <c r="Z37" s="1223"/>
      <c r="AA37" s="1223"/>
      <c r="AB37" s="1223"/>
      <c r="AC37" s="1065">
        <v>0</v>
      </c>
    </row>
    <row r="38" spans="1:29">
      <c r="A38" s="1231">
        <f t="shared" si="4"/>
        <v>17</v>
      </c>
      <c r="B38" s="1242">
        <v>1650031</v>
      </c>
      <c r="C38" s="1232" t="s">
        <v>616</v>
      </c>
      <c r="D38" s="1109">
        <f t="shared" si="5"/>
        <v>0</v>
      </c>
      <c r="E38" s="1109"/>
      <c r="F38" s="1234"/>
      <c r="G38" s="1109"/>
      <c r="H38" s="1240"/>
      <c r="I38" s="1109"/>
      <c r="J38" s="1109">
        <f t="shared" ref="J38:J43" si="7">+D38</f>
        <v>0</v>
      </c>
      <c r="K38" s="1063"/>
      <c r="L38" s="1231">
        <f t="shared" si="6"/>
        <v>17</v>
      </c>
      <c r="M38" s="1238">
        <f t="shared" si="1"/>
        <v>1650031</v>
      </c>
      <c r="N38" s="1232" t="str">
        <f t="shared" si="2"/>
        <v>Prepaid OCIP Work Comp</v>
      </c>
      <c r="O38" s="1232"/>
      <c r="P38" s="1222">
        <f t="shared" si="3"/>
        <v>0</v>
      </c>
      <c r="Q38" s="1065">
        <v>0</v>
      </c>
      <c r="R38" s="1223"/>
      <c r="S38" s="1223"/>
      <c r="T38" s="1223"/>
      <c r="U38" s="1223"/>
      <c r="V38" s="1223"/>
      <c r="W38" s="1223"/>
      <c r="X38" s="1223"/>
      <c r="Y38" s="1223"/>
      <c r="Z38" s="1223"/>
      <c r="AA38" s="1223"/>
      <c r="AB38" s="1223"/>
      <c r="AC38" s="1065">
        <v>0</v>
      </c>
    </row>
    <row r="39" spans="1:29">
      <c r="A39" s="1231">
        <f t="shared" si="4"/>
        <v>18</v>
      </c>
      <c r="B39" s="1242">
        <v>1650032</v>
      </c>
      <c r="C39" s="1232" t="s">
        <v>799</v>
      </c>
      <c r="D39" s="1109">
        <f t="shared" si="5"/>
        <v>0</v>
      </c>
      <c r="E39" s="1109"/>
      <c r="F39" s="1234"/>
      <c r="G39" s="1109"/>
      <c r="H39" s="1240"/>
      <c r="I39" s="1109"/>
      <c r="J39" s="1109">
        <f t="shared" si="7"/>
        <v>0</v>
      </c>
      <c r="K39" s="1063"/>
      <c r="L39" s="1231">
        <f t="shared" si="6"/>
        <v>18</v>
      </c>
      <c r="M39" s="1238">
        <f t="shared" si="1"/>
        <v>1650032</v>
      </c>
      <c r="N39" s="1232" t="str">
        <f t="shared" si="2"/>
        <v>Prepaid OCIP Work Comp-Long Term</v>
      </c>
      <c r="O39" s="1232"/>
      <c r="P39" s="1222">
        <f t="shared" si="3"/>
        <v>0</v>
      </c>
      <c r="Q39" s="1065">
        <v>0</v>
      </c>
      <c r="R39" s="1223"/>
      <c r="S39" s="1223"/>
      <c r="T39" s="1223"/>
      <c r="U39" s="1223"/>
      <c r="V39" s="1223"/>
      <c r="W39" s="1223"/>
      <c r="X39" s="1223"/>
      <c r="Y39" s="1223"/>
      <c r="Z39" s="1223"/>
      <c r="AA39" s="1223"/>
      <c r="AB39" s="1223"/>
      <c r="AC39" s="1065">
        <v>0</v>
      </c>
    </row>
    <row r="40" spans="1:29">
      <c r="A40" s="1231">
        <f t="shared" si="4"/>
        <v>19</v>
      </c>
      <c r="B40" s="1242">
        <v>1650033</v>
      </c>
      <c r="C40" s="1232" t="s">
        <v>800</v>
      </c>
      <c r="D40" s="1109">
        <f t="shared" si="5"/>
        <v>0</v>
      </c>
      <c r="E40" s="1109"/>
      <c r="F40" s="1234"/>
      <c r="G40" s="1109"/>
      <c r="H40" s="1240"/>
      <c r="I40" s="1109"/>
      <c r="J40" s="1109">
        <f t="shared" si="7"/>
        <v>0</v>
      </c>
      <c r="K40" s="1063"/>
      <c r="L40" s="1231">
        <f t="shared" si="6"/>
        <v>19</v>
      </c>
      <c r="M40" s="1238">
        <f t="shared" si="1"/>
        <v>1650033</v>
      </c>
      <c r="N40" s="1232" t="str">
        <f t="shared" si="2"/>
        <v>Prepaid OCIP Work Comp-Affiliated</v>
      </c>
      <c r="O40" s="1232"/>
      <c r="P40" s="1222">
        <f t="shared" si="3"/>
        <v>0</v>
      </c>
      <c r="Q40" s="1065">
        <v>0</v>
      </c>
      <c r="R40" s="1223"/>
      <c r="S40" s="1223"/>
      <c r="T40" s="1223"/>
      <c r="U40" s="1223"/>
      <c r="V40" s="1223"/>
      <c r="W40" s="1223"/>
      <c r="X40" s="1223"/>
      <c r="Y40" s="1223"/>
      <c r="Z40" s="1223"/>
      <c r="AA40" s="1223"/>
      <c r="AB40" s="1223"/>
      <c r="AC40" s="1065">
        <v>0</v>
      </c>
    </row>
    <row r="41" spans="1:29">
      <c r="A41" s="1231">
        <f t="shared" si="4"/>
        <v>20</v>
      </c>
      <c r="B41" s="1242">
        <v>1650034</v>
      </c>
      <c r="C41" s="1232" t="s">
        <v>801</v>
      </c>
      <c r="D41" s="1109">
        <f t="shared" si="5"/>
        <v>0</v>
      </c>
      <c r="E41" s="1109"/>
      <c r="F41" s="1234"/>
      <c r="G41" s="1109"/>
      <c r="H41" s="1240"/>
      <c r="I41" s="1109"/>
      <c r="J41" s="1109">
        <f t="shared" si="7"/>
        <v>0</v>
      </c>
      <c r="K41" s="1063"/>
      <c r="L41" s="1231">
        <f t="shared" si="6"/>
        <v>20</v>
      </c>
      <c r="M41" s="1238">
        <f t="shared" si="1"/>
        <v>1650034</v>
      </c>
      <c r="N41" s="1232" t="str">
        <f t="shared" si="2"/>
        <v>Prepaid OCIP Work Comp-Affiliated Long Term</v>
      </c>
      <c r="O41" s="1232"/>
      <c r="P41" s="1222">
        <f t="shared" si="3"/>
        <v>0</v>
      </c>
      <c r="Q41" s="1065">
        <v>0</v>
      </c>
      <c r="R41" s="1223"/>
      <c r="S41" s="1223"/>
      <c r="T41" s="1223"/>
      <c r="U41" s="1223"/>
      <c r="V41" s="1223"/>
      <c r="W41" s="1223"/>
      <c r="X41" s="1223"/>
      <c r="Y41" s="1223"/>
      <c r="Z41" s="1223"/>
      <c r="AA41" s="1223"/>
      <c r="AB41" s="1223"/>
      <c r="AC41" s="1065">
        <v>0</v>
      </c>
    </row>
    <row r="42" spans="1:29" ht="27" customHeight="1">
      <c r="A42" s="1231">
        <f t="shared" si="4"/>
        <v>21</v>
      </c>
      <c r="B42" s="1242">
        <v>1650035</v>
      </c>
      <c r="C42" s="1232" t="s">
        <v>617</v>
      </c>
      <c r="D42" s="1109">
        <f t="shared" si="5"/>
        <v>24355791.5</v>
      </c>
      <c r="E42" s="1109"/>
      <c r="F42" s="1234"/>
      <c r="G42" s="1109"/>
      <c r="H42" s="1240"/>
      <c r="I42" s="1109"/>
      <c r="J42" s="1239">
        <f t="shared" si="7"/>
        <v>24355791.5</v>
      </c>
      <c r="K42" s="1244" t="s">
        <v>1796</v>
      </c>
      <c r="L42" s="1231">
        <f t="shared" si="6"/>
        <v>21</v>
      </c>
      <c r="M42" s="1238">
        <f t="shared" si="1"/>
        <v>1650035</v>
      </c>
      <c r="N42" s="1232" t="str">
        <f t="shared" si="2"/>
        <v>PRW Without MED-D Benefits</v>
      </c>
      <c r="O42" s="1232"/>
      <c r="P42" s="1222">
        <f t="shared" si="3"/>
        <v>24355791.5</v>
      </c>
      <c r="Q42" s="1065">
        <v>19932575</v>
      </c>
      <c r="R42" s="1223"/>
      <c r="S42" s="1223"/>
      <c r="T42" s="1223"/>
      <c r="U42" s="1223"/>
      <c r="V42" s="1223"/>
      <c r="W42" s="1223"/>
      <c r="X42" s="1223"/>
      <c r="Y42" s="1223"/>
      <c r="Z42" s="1223"/>
      <c r="AA42" s="1223"/>
      <c r="AB42" s="1223"/>
      <c r="AC42" s="1065">
        <v>28779008</v>
      </c>
    </row>
    <row r="43" spans="1:29">
      <c r="A43" s="1231">
        <f t="shared" si="4"/>
        <v>22</v>
      </c>
      <c r="B43" s="1242">
        <v>1650036</v>
      </c>
      <c r="C43" s="1232" t="s">
        <v>618</v>
      </c>
      <c r="D43" s="1109">
        <f t="shared" si="5"/>
        <v>0</v>
      </c>
      <c r="E43" s="1109"/>
      <c r="F43" s="1234"/>
      <c r="G43" s="1109"/>
      <c r="H43" s="1240"/>
      <c r="I43" s="1109"/>
      <c r="J43" s="1239">
        <f t="shared" si="7"/>
        <v>0</v>
      </c>
      <c r="K43" s="1063"/>
      <c r="L43" s="1231">
        <f t="shared" si="6"/>
        <v>22</v>
      </c>
      <c r="M43" s="1238">
        <f t="shared" si="1"/>
        <v>1650036</v>
      </c>
      <c r="N43" s="1232" t="str">
        <f t="shared" si="2"/>
        <v>PRW for Med-D Benefits</v>
      </c>
      <c r="O43" s="1232"/>
      <c r="P43" s="1222">
        <f t="shared" si="3"/>
        <v>0</v>
      </c>
      <c r="Q43" s="1065">
        <v>0</v>
      </c>
      <c r="R43" s="1223"/>
      <c r="S43" s="1223"/>
      <c r="T43" s="1223"/>
      <c r="U43" s="1223"/>
      <c r="V43" s="1223"/>
      <c r="W43" s="1223"/>
      <c r="X43" s="1223"/>
      <c r="Y43" s="1223"/>
      <c r="Z43" s="1223"/>
      <c r="AA43" s="1223"/>
      <c r="AB43" s="1223"/>
      <c r="AC43" s="1065">
        <v>0</v>
      </c>
    </row>
    <row r="44" spans="1:29" ht="24.75" customHeight="1">
      <c r="A44" s="1231">
        <f t="shared" si="4"/>
        <v>23</v>
      </c>
      <c r="B44" s="1242">
        <v>1650037</v>
      </c>
      <c r="C44" s="1232" t="s">
        <v>802</v>
      </c>
      <c r="D44" s="1109">
        <f t="shared" si="5"/>
        <v>-24355791.5</v>
      </c>
      <c r="E44" s="1109">
        <f>+D44</f>
        <v>-24355791.5</v>
      </c>
      <c r="F44" s="1234"/>
      <c r="G44" s="1109"/>
      <c r="H44" s="1240"/>
      <c r="I44" s="1109"/>
      <c r="J44" s="1239"/>
      <c r="K44" s="1063" t="s">
        <v>1797</v>
      </c>
      <c r="L44" s="1231">
        <f t="shared" si="6"/>
        <v>23</v>
      </c>
      <c r="M44" s="1238">
        <f t="shared" si="1"/>
        <v>1650037</v>
      </c>
      <c r="N44" s="1232" t="str">
        <f t="shared" si="2"/>
        <v>FAS158 Contra-PRW Exclude Med-D</v>
      </c>
      <c r="O44" s="1232"/>
      <c r="P44" s="1222">
        <f t="shared" si="3"/>
        <v>-24355791.5</v>
      </c>
      <c r="Q44" s="1065">
        <v>-19932575</v>
      </c>
      <c r="R44" s="1223"/>
      <c r="S44" s="1223"/>
      <c r="T44" s="1223"/>
      <c r="U44" s="1223"/>
      <c r="V44" s="1223"/>
      <c r="W44" s="1223"/>
      <c r="X44" s="1223"/>
      <c r="Y44" s="1223"/>
      <c r="Z44" s="1223"/>
      <c r="AA44" s="1223"/>
      <c r="AB44" s="1223"/>
      <c r="AC44" s="1065">
        <v>-28779008</v>
      </c>
    </row>
    <row r="45" spans="1:29">
      <c r="A45" s="1231">
        <f t="shared" si="4"/>
        <v>24</v>
      </c>
      <c r="B45" s="1242"/>
      <c r="C45" s="1232"/>
      <c r="D45" s="1109">
        <f t="shared" ref="D45:D49" si="8">+P45</f>
        <v>0</v>
      </c>
      <c r="E45" s="1109"/>
      <c r="F45" s="1234"/>
      <c r="G45" s="1109"/>
      <c r="H45" s="1240"/>
      <c r="I45" s="1109"/>
      <c r="J45" s="1239">
        <f>+D45</f>
        <v>0</v>
      </c>
      <c r="K45" s="1063"/>
      <c r="L45" s="1231">
        <f t="shared" si="6"/>
        <v>24</v>
      </c>
      <c r="M45" s="1238">
        <f t="shared" si="1"/>
        <v>0</v>
      </c>
      <c r="N45" s="1245">
        <f t="shared" si="2"/>
        <v>0</v>
      </c>
      <c r="O45" s="1245"/>
      <c r="P45" s="1222">
        <f t="shared" si="3"/>
        <v>0</v>
      </c>
      <c r="Q45" s="1065"/>
      <c r="R45" s="1223"/>
      <c r="S45" s="1223"/>
      <c r="T45" s="1223"/>
      <c r="U45" s="1223"/>
      <c r="V45" s="1223"/>
      <c r="W45" s="1223"/>
      <c r="X45" s="1223"/>
      <c r="Y45" s="1223"/>
      <c r="Z45" s="1223"/>
      <c r="AA45" s="1223"/>
      <c r="AB45" s="1223"/>
      <c r="AC45" s="1065"/>
    </row>
    <row r="46" spans="1:29">
      <c r="A46" s="1231">
        <f t="shared" si="4"/>
        <v>25</v>
      </c>
      <c r="B46" s="1246"/>
      <c r="C46" s="1247"/>
      <c r="D46" s="1109">
        <f t="shared" si="8"/>
        <v>0</v>
      </c>
      <c r="E46" s="1109">
        <f>+D46</f>
        <v>0</v>
      </c>
      <c r="F46" s="1248"/>
      <c r="G46" s="1249"/>
      <c r="H46" s="1250"/>
      <c r="I46" s="1249"/>
      <c r="J46" s="1249"/>
      <c r="K46" s="1101"/>
      <c r="L46" s="1231">
        <f t="shared" si="6"/>
        <v>25</v>
      </c>
      <c r="M46" s="1238">
        <f t="shared" si="1"/>
        <v>0</v>
      </c>
      <c r="N46" s="1245">
        <f t="shared" si="2"/>
        <v>0</v>
      </c>
      <c r="O46" s="1245"/>
      <c r="P46" s="1222">
        <f t="shared" si="3"/>
        <v>0</v>
      </c>
      <c r="Q46" s="1102"/>
      <c r="R46" s="1251"/>
      <c r="S46" s="1251"/>
      <c r="T46" s="1251"/>
      <c r="U46" s="1251"/>
      <c r="V46" s="1251"/>
      <c r="W46" s="1251"/>
      <c r="X46" s="1251"/>
      <c r="Y46" s="1251"/>
      <c r="Z46" s="1251"/>
      <c r="AA46" s="1251"/>
      <c r="AB46" s="1251"/>
      <c r="AC46" s="1102"/>
    </row>
    <row r="47" spans="1:29">
      <c r="A47" s="1231">
        <f t="shared" si="4"/>
        <v>26</v>
      </c>
      <c r="B47" s="1242"/>
      <c r="C47" s="1232"/>
      <c r="D47" s="1109">
        <f t="shared" si="8"/>
        <v>0</v>
      </c>
      <c r="E47" s="1109"/>
      <c r="F47" s="1234"/>
      <c r="G47" s="1109"/>
      <c r="H47" s="1240"/>
      <c r="I47" s="1109"/>
      <c r="J47" s="1239"/>
      <c r="K47" s="1063"/>
      <c r="L47" s="1231">
        <f t="shared" si="6"/>
        <v>26</v>
      </c>
      <c r="M47" s="1238">
        <f t="shared" si="1"/>
        <v>0</v>
      </c>
      <c r="N47" s="1245">
        <f t="shared" si="2"/>
        <v>0</v>
      </c>
      <c r="O47" s="1245"/>
      <c r="P47" s="1222">
        <f t="shared" si="3"/>
        <v>0</v>
      </c>
      <c r="Q47" s="1065"/>
      <c r="R47" s="1223"/>
      <c r="S47" s="1223"/>
      <c r="T47" s="1223"/>
      <c r="U47" s="1223"/>
      <c r="V47" s="1223"/>
      <c r="W47" s="1223"/>
      <c r="X47" s="1223"/>
      <c r="Y47" s="1223"/>
      <c r="Z47" s="1223"/>
      <c r="AA47" s="1223"/>
      <c r="AB47" s="1223"/>
      <c r="AC47" s="1065"/>
    </row>
    <row r="48" spans="1:29">
      <c r="A48" s="1231">
        <f t="shared" si="4"/>
        <v>27</v>
      </c>
      <c r="B48" s="1242"/>
      <c r="C48" s="1232"/>
      <c r="D48" s="1109">
        <f t="shared" si="8"/>
        <v>0</v>
      </c>
      <c r="E48" s="1109"/>
      <c r="F48" s="1234" t="e">
        <f>+#REF!</f>
        <v>#REF!</v>
      </c>
      <c r="G48" s="1109"/>
      <c r="H48" s="1234" t="e">
        <f>+#REF!</f>
        <v>#REF!</v>
      </c>
      <c r="I48" s="1109"/>
      <c r="J48" s="1252"/>
      <c r="K48" s="1063"/>
      <c r="L48" s="1231">
        <f t="shared" si="6"/>
        <v>27</v>
      </c>
      <c r="M48" s="1238">
        <f t="shared" si="1"/>
        <v>0</v>
      </c>
      <c r="N48" s="1245">
        <f t="shared" si="2"/>
        <v>0</v>
      </c>
      <c r="O48" s="1245"/>
      <c r="P48" s="1222">
        <f t="shared" si="3"/>
        <v>0</v>
      </c>
      <c r="Q48" s="1065"/>
      <c r="R48" s="1223"/>
      <c r="S48" s="1223"/>
      <c r="T48" s="1223"/>
      <c r="U48" s="1223"/>
      <c r="V48" s="1223"/>
      <c r="W48" s="1223"/>
      <c r="X48" s="1223"/>
      <c r="Y48" s="1223"/>
      <c r="Z48" s="1223"/>
      <c r="AA48" s="1223"/>
      <c r="AB48" s="1223"/>
      <c r="AC48" s="1065"/>
    </row>
    <row r="49" spans="1:29">
      <c r="A49" s="1231">
        <f t="shared" si="4"/>
        <v>28</v>
      </c>
      <c r="B49" s="1242"/>
      <c r="C49" s="1232"/>
      <c r="D49" s="1109">
        <f t="shared" si="8"/>
        <v>0</v>
      </c>
      <c r="E49" s="1109"/>
      <c r="F49" s="1234" t="e">
        <f>+#REF!</f>
        <v>#REF!</v>
      </c>
      <c r="G49" s="1109"/>
      <c r="H49" s="1234" t="e">
        <f>+#REF!</f>
        <v>#REF!</v>
      </c>
      <c r="I49" s="1109"/>
      <c r="J49" s="1252"/>
      <c r="K49" s="1063"/>
      <c r="L49" s="1231">
        <f t="shared" si="6"/>
        <v>28</v>
      </c>
      <c r="M49" s="1238">
        <f t="shared" si="1"/>
        <v>0</v>
      </c>
      <c r="N49" s="1245">
        <f t="shared" si="2"/>
        <v>0</v>
      </c>
      <c r="O49" s="1245"/>
      <c r="P49" s="1222">
        <f t="shared" si="3"/>
        <v>0</v>
      </c>
      <c r="Q49" s="1065"/>
      <c r="R49" s="1223"/>
      <c r="S49" s="1223"/>
      <c r="T49" s="1223"/>
      <c r="U49" s="1223"/>
      <c r="V49" s="1223"/>
      <c r="W49" s="1223"/>
      <c r="X49" s="1223"/>
      <c r="Y49" s="1223"/>
      <c r="Z49" s="1223"/>
      <c r="AA49" s="1223"/>
      <c r="AB49" s="1223"/>
      <c r="AC49" s="1065"/>
    </row>
    <row r="50" spans="1:29" ht="13.5" thickBot="1">
      <c r="A50" s="1210"/>
      <c r="B50" s="1253"/>
      <c r="C50" s="1253"/>
      <c r="D50" s="1254"/>
      <c r="E50" s="1255"/>
      <c r="F50" s="1256"/>
      <c r="G50" s="1255"/>
      <c r="H50" s="1256"/>
      <c r="I50" s="1255"/>
      <c r="J50" s="1255"/>
      <c r="K50" s="1257"/>
      <c r="L50" s="1210"/>
      <c r="M50" s="1208"/>
      <c r="N50" s="1208"/>
      <c r="O50" s="1208"/>
      <c r="P50" s="1218"/>
      <c r="Q50" s="1208"/>
    </row>
    <row r="51" spans="1:29">
      <c r="A51" s="1210">
        <f>+A49+1</f>
        <v>29</v>
      </c>
      <c r="B51" s="1228"/>
      <c r="C51" s="1258"/>
      <c r="D51" s="1259">
        <f>SUM(D25:D50)</f>
        <v>6983801.6700000018</v>
      </c>
      <c r="E51" s="1260">
        <f>SUM(E25:E50)</f>
        <v>-110158711.755</v>
      </c>
      <c r="F51" s="1240"/>
      <c r="G51" s="1260">
        <f>SUM(G25:G50)</f>
        <v>0</v>
      </c>
      <c r="H51" s="1240"/>
      <c r="I51" s="1260">
        <f>SUM(I25:I50)</f>
        <v>2685238.4249999998</v>
      </c>
      <c r="J51" s="1260">
        <f>SUM(J25:J50)</f>
        <v>114457275</v>
      </c>
      <c r="K51" s="1023"/>
      <c r="L51" s="1210">
        <f>+L49+1</f>
        <v>29</v>
      </c>
      <c r="M51" s="1258" t="s">
        <v>1294</v>
      </c>
      <c r="O51" s="1208"/>
      <c r="P51" s="1261">
        <f t="shared" ref="P51:AC51" si="9">SUM(P25:P50)</f>
        <v>6983801.6700000018</v>
      </c>
      <c r="Q51" s="1260">
        <f t="shared" si="9"/>
        <v>7943403</v>
      </c>
      <c r="R51" s="1260">
        <f t="shared" si="9"/>
        <v>0</v>
      </c>
      <c r="S51" s="1260">
        <f t="shared" si="9"/>
        <v>0</v>
      </c>
      <c r="T51" s="1260">
        <f t="shared" si="9"/>
        <v>0</v>
      </c>
      <c r="U51" s="1260">
        <f t="shared" si="9"/>
        <v>0</v>
      </c>
      <c r="V51" s="1260">
        <f t="shared" si="9"/>
        <v>0</v>
      </c>
      <c r="W51" s="1260">
        <f t="shared" si="9"/>
        <v>0</v>
      </c>
      <c r="X51" s="1260">
        <f t="shared" si="9"/>
        <v>0</v>
      </c>
      <c r="Y51" s="1260">
        <f t="shared" si="9"/>
        <v>0</v>
      </c>
      <c r="Z51" s="1260">
        <f t="shared" si="9"/>
        <v>0</v>
      </c>
      <c r="AA51" s="1260">
        <f t="shared" si="9"/>
        <v>0</v>
      </c>
      <c r="AB51" s="1260">
        <f t="shared" si="9"/>
        <v>0</v>
      </c>
      <c r="AC51" s="1260">
        <f t="shared" si="9"/>
        <v>6024200.3399999887</v>
      </c>
    </row>
    <row r="52" spans="1:29">
      <c r="A52" s="1210"/>
      <c r="B52" s="1228"/>
      <c r="C52" s="1258"/>
      <c r="D52" s="1262"/>
      <c r="E52" s="1263"/>
      <c r="F52" s="1240"/>
      <c r="G52" s="1263"/>
      <c r="H52" s="1240"/>
      <c r="I52" s="1263"/>
      <c r="J52" s="1263"/>
      <c r="K52" s="1023"/>
      <c r="L52" s="1208"/>
      <c r="M52" s="1208"/>
      <c r="N52" s="1208"/>
      <c r="O52" s="1208"/>
      <c r="P52" s="1208"/>
      <c r="Q52" s="1208"/>
    </row>
    <row r="53" spans="1:29" s="1265" customFormat="1" ht="49.5" customHeight="1">
      <c r="A53" s="1264" t="s">
        <v>1162</v>
      </c>
      <c r="B53" s="2473" t="s">
        <v>1161</v>
      </c>
      <c r="C53" s="2473"/>
      <c r="D53" s="2473"/>
      <c r="E53" s="2473"/>
      <c r="F53" s="2473"/>
      <c r="G53" s="2473"/>
      <c r="H53" s="2473"/>
      <c r="I53" s="2473"/>
      <c r="J53" s="2473"/>
      <c r="K53" s="2473"/>
      <c r="L53" s="1264" t="s">
        <v>1162</v>
      </c>
      <c r="M53" s="2473"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473"/>
      <c r="O53" s="2473"/>
      <c r="P53" s="2473"/>
      <c r="Q53" s="2473"/>
      <c r="R53" s="2473"/>
      <c r="S53" s="2473"/>
      <c r="T53" s="2473"/>
      <c r="U53" s="2473"/>
      <c r="V53" s="2473"/>
      <c r="W53" s="2473"/>
      <c r="X53" s="2473"/>
      <c r="Y53" s="2473"/>
      <c r="Z53" s="2473"/>
      <c r="AA53" s="2473"/>
      <c r="AB53" s="2473"/>
      <c r="AC53" s="2473"/>
    </row>
    <row r="54" spans="1:29">
      <c r="A54" s="1023"/>
      <c r="B54" s="1023"/>
      <c r="C54" s="1023"/>
      <c r="D54" s="1023"/>
      <c r="E54" s="1023"/>
      <c r="F54" s="1023"/>
      <c r="G54" s="1023"/>
      <c r="H54" s="1023"/>
      <c r="I54" s="1023"/>
      <c r="J54" s="1023"/>
      <c r="K54" s="1023"/>
      <c r="L54" s="1023"/>
      <c r="M54" s="1023"/>
      <c r="N54" s="1023"/>
      <c r="O54" s="1023"/>
      <c r="P54" s="1023"/>
      <c r="Q54" s="1023"/>
      <c r="R54" s="1023"/>
    </row>
    <row r="55" spans="1:29">
      <c r="A55" s="1023"/>
      <c r="B55" s="1023"/>
      <c r="C55" s="1023"/>
      <c r="D55" s="1023"/>
      <c r="E55" s="1023"/>
      <c r="F55" s="1023"/>
      <c r="G55" s="1023"/>
      <c r="H55" s="1023"/>
      <c r="I55" s="1023"/>
      <c r="J55" s="1023"/>
      <c r="K55" s="1023"/>
      <c r="L55" s="1023"/>
      <c r="M55" s="1023"/>
      <c r="N55" s="1023"/>
      <c r="O55" s="1023"/>
      <c r="P55" s="1023"/>
      <c r="Q55" s="1023"/>
      <c r="R55" s="1023"/>
    </row>
    <row r="56" spans="1:29">
      <c r="A56" s="1023"/>
      <c r="B56" s="1023"/>
      <c r="C56" s="1023"/>
      <c r="D56" s="1023"/>
      <c r="E56" s="1023"/>
      <c r="F56" s="1023"/>
      <c r="G56" s="1023"/>
      <c r="H56" s="1023"/>
      <c r="I56" s="1023"/>
      <c r="J56" s="1023"/>
      <c r="K56" s="1023"/>
      <c r="L56" s="1023"/>
      <c r="M56" s="1023"/>
      <c r="N56" s="1023"/>
      <c r="O56" s="1023"/>
      <c r="P56" s="1023"/>
      <c r="Q56" s="1023"/>
      <c r="R56" s="1023"/>
    </row>
    <row r="57" spans="1:29">
      <c r="A57" s="1023"/>
      <c r="B57" s="1023"/>
      <c r="C57" s="1023"/>
      <c r="D57" s="1023"/>
      <c r="E57" s="1023"/>
      <c r="F57" s="1023"/>
      <c r="G57" s="1023"/>
      <c r="H57" s="1023"/>
      <c r="I57" s="1023"/>
      <c r="J57" s="1023"/>
      <c r="K57" s="1023"/>
      <c r="L57" s="1023"/>
      <c r="M57" s="1023"/>
      <c r="N57" s="1023"/>
      <c r="O57" s="1023"/>
      <c r="P57" s="1023"/>
      <c r="Q57" s="1023"/>
      <c r="R57" s="1023"/>
    </row>
    <row r="58" spans="1:29">
      <c r="A58" s="1023"/>
      <c r="B58" s="1023"/>
      <c r="C58" s="1023"/>
      <c r="D58" s="1023"/>
      <c r="E58" s="1023"/>
      <c r="F58" s="1023"/>
      <c r="G58" s="1023"/>
      <c r="H58" s="1023"/>
      <c r="I58" s="1023"/>
      <c r="J58" s="1023"/>
      <c r="K58" s="1023"/>
      <c r="L58" s="1023"/>
      <c r="M58" s="1023"/>
      <c r="N58" s="1023"/>
      <c r="O58" s="1023"/>
      <c r="P58" s="1023"/>
      <c r="Q58" s="1023"/>
      <c r="R58" s="1023"/>
    </row>
    <row r="59" spans="1:29">
      <c r="A59" s="1023"/>
      <c r="B59" s="1023"/>
      <c r="C59" s="1023"/>
      <c r="D59" s="1023"/>
      <c r="E59" s="1023"/>
      <c r="F59" s="1023"/>
      <c r="G59" s="1023"/>
      <c r="H59" s="1023"/>
      <c r="I59" s="1023"/>
      <c r="J59" s="1023"/>
      <c r="K59" s="1023"/>
      <c r="L59" s="1023"/>
      <c r="M59" s="1023"/>
      <c r="N59" s="1023"/>
      <c r="O59" s="1023"/>
      <c r="P59" s="1023"/>
      <c r="Q59" s="1023"/>
      <c r="R59" s="1023"/>
    </row>
    <row r="60" spans="1:29">
      <c r="A60" s="1023"/>
      <c r="B60" s="1023"/>
      <c r="C60" s="1023"/>
      <c r="D60" s="1023"/>
      <c r="E60" s="1023"/>
      <c r="F60" s="1023"/>
      <c r="G60" s="1023"/>
      <c r="H60" s="1023"/>
      <c r="I60" s="1023"/>
      <c r="J60" s="1023"/>
      <c r="K60" s="1023"/>
      <c r="L60" s="1023"/>
      <c r="M60" s="1023"/>
      <c r="N60" s="1023"/>
      <c r="O60" s="1023"/>
      <c r="P60" s="1023"/>
      <c r="Q60" s="1023"/>
      <c r="R60" s="1023"/>
    </row>
    <row r="61" spans="1:29">
      <c r="A61" s="1023"/>
      <c r="B61" s="1023"/>
      <c r="C61" s="1023"/>
      <c r="D61" s="1023"/>
      <c r="E61" s="1023"/>
      <c r="F61" s="1023"/>
      <c r="G61" s="1023"/>
      <c r="H61" s="1023"/>
      <c r="I61" s="1023"/>
      <c r="J61" s="1023"/>
      <c r="K61" s="1023"/>
      <c r="L61" s="1023"/>
      <c r="M61" s="1023"/>
      <c r="N61" s="1023"/>
      <c r="O61" s="1023"/>
      <c r="P61" s="1023"/>
      <c r="Q61" s="1023"/>
      <c r="R61" s="1023"/>
    </row>
    <row r="62" spans="1:29">
      <c r="A62" s="1023"/>
      <c r="B62" s="1023"/>
      <c r="C62" s="1023"/>
      <c r="D62" s="1023"/>
      <c r="E62" s="1023"/>
      <c r="F62" s="1023"/>
      <c r="G62" s="1023"/>
      <c r="H62" s="1023"/>
      <c r="I62" s="1023"/>
      <c r="J62" s="1023"/>
      <c r="K62" s="1023"/>
      <c r="L62" s="1023"/>
      <c r="M62" s="1023"/>
      <c r="N62" s="1023"/>
      <c r="O62" s="1023"/>
      <c r="P62" s="1023"/>
      <c r="Q62" s="1023"/>
      <c r="R62" s="1023"/>
    </row>
    <row r="63" spans="1:29">
      <c r="A63" s="1023"/>
      <c r="B63" s="1023"/>
      <c r="C63" s="1023"/>
      <c r="D63" s="1023"/>
      <c r="E63" s="1023"/>
      <c r="F63" s="1023"/>
      <c r="G63" s="1023"/>
      <c r="H63" s="1023"/>
      <c r="I63" s="1023"/>
      <c r="J63" s="1023"/>
      <c r="K63" s="1023"/>
      <c r="L63" s="1023"/>
      <c r="M63" s="1023"/>
      <c r="N63" s="1023"/>
      <c r="O63" s="1023"/>
      <c r="P63" s="1023"/>
      <c r="Q63" s="1023"/>
      <c r="R63" s="1023"/>
    </row>
    <row r="64" spans="1:29">
      <c r="A64" s="1023"/>
      <c r="B64" s="1023"/>
      <c r="C64" s="1023"/>
      <c r="D64" s="1023"/>
      <c r="E64" s="1023"/>
      <c r="F64" s="1023"/>
      <c r="G64" s="1023"/>
      <c r="H64" s="1023"/>
      <c r="I64" s="1023"/>
      <c r="J64" s="1023"/>
      <c r="K64" s="1023"/>
      <c r="L64" s="1023"/>
      <c r="M64" s="1023"/>
      <c r="N64" s="1023"/>
      <c r="O64" s="1023"/>
      <c r="P64" s="1023"/>
      <c r="Q64" s="1023"/>
      <c r="R64" s="1023"/>
    </row>
    <row r="65" spans="1:18">
      <c r="A65" s="1023"/>
      <c r="B65" s="1023"/>
      <c r="C65" s="1023"/>
      <c r="D65" s="1023"/>
      <c r="E65" s="1023"/>
      <c r="F65" s="1023"/>
      <c r="G65" s="1023"/>
      <c r="H65" s="1023"/>
      <c r="I65" s="1023"/>
      <c r="J65" s="1023"/>
      <c r="K65" s="1023"/>
      <c r="L65" s="1023"/>
      <c r="M65" s="1023"/>
      <c r="N65" s="1023"/>
      <c r="O65" s="1023"/>
      <c r="P65" s="1023"/>
      <c r="Q65" s="1023"/>
      <c r="R65" s="1023"/>
    </row>
    <row r="66" spans="1:18">
      <c r="A66" s="1023"/>
      <c r="B66" s="1023"/>
      <c r="C66" s="1023"/>
      <c r="D66" s="1023"/>
      <c r="E66" s="1023"/>
      <c r="F66" s="1023"/>
      <c r="G66" s="1023"/>
      <c r="H66" s="1023"/>
      <c r="I66" s="1023"/>
      <c r="J66" s="1023"/>
      <c r="K66" s="1023"/>
      <c r="L66" s="1023"/>
      <c r="M66" s="1023"/>
      <c r="N66" s="1023"/>
      <c r="O66" s="1023"/>
      <c r="P66" s="1023"/>
      <c r="Q66" s="1023"/>
      <c r="R66" s="1023"/>
    </row>
    <row r="67" spans="1:18">
      <c r="A67" s="1023"/>
      <c r="B67" s="1023"/>
      <c r="C67" s="1023"/>
      <c r="D67" s="1023"/>
      <c r="E67" s="1023"/>
      <c r="F67" s="1023"/>
      <c r="G67" s="1023"/>
      <c r="H67" s="1023"/>
      <c r="I67" s="1023"/>
      <c r="J67" s="1023"/>
      <c r="K67" s="1023"/>
      <c r="L67" s="1023"/>
      <c r="M67" s="1023"/>
      <c r="N67" s="1023"/>
      <c r="O67" s="1023"/>
      <c r="P67" s="1023"/>
      <c r="Q67" s="1023"/>
      <c r="R67" s="1023"/>
    </row>
    <row r="68" spans="1:18">
      <c r="A68" s="1023"/>
      <c r="B68" s="1023"/>
      <c r="C68" s="1023"/>
      <c r="D68" s="1023"/>
      <c r="E68" s="1023"/>
      <c r="F68" s="1023"/>
      <c r="G68" s="1023"/>
      <c r="H68" s="1023"/>
      <c r="I68" s="1023"/>
      <c r="J68" s="1023"/>
      <c r="K68" s="1023"/>
      <c r="L68" s="1023"/>
      <c r="M68" s="1023"/>
      <c r="N68" s="1023"/>
      <c r="O68" s="1023"/>
      <c r="P68" s="1023"/>
      <c r="Q68" s="1023"/>
      <c r="R68" s="1023"/>
    </row>
    <row r="69" spans="1:18">
      <c r="A69" s="1023"/>
      <c r="B69" s="1023"/>
      <c r="C69" s="1023"/>
      <c r="D69" s="1023"/>
      <c r="E69" s="1023"/>
      <c r="F69" s="1023"/>
      <c r="G69" s="1023"/>
      <c r="H69" s="1023"/>
      <c r="I69" s="1023"/>
      <c r="J69" s="1023"/>
      <c r="K69" s="1023"/>
      <c r="L69" s="1023"/>
      <c r="M69" s="1023"/>
      <c r="N69" s="1023"/>
      <c r="O69" s="1023"/>
      <c r="P69" s="1023"/>
      <c r="Q69" s="1023"/>
      <c r="R69" s="1023"/>
    </row>
    <row r="70" spans="1:18">
      <c r="A70" s="1023"/>
      <c r="B70" s="1023"/>
      <c r="C70" s="1023"/>
      <c r="D70" s="1023"/>
      <c r="E70" s="1023"/>
      <c r="F70" s="1023"/>
      <c r="G70" s="1023"/>
      <c r="H70" s="1023"/>
      <c r="I70" s="1023"/>
      <c r="J70" s="1023"/>
      <c r="K70" s="1023"/>
      <c r="L70" s="1023"/>
      <c r="M70" s="1023"/>
      <c r="N70" s="1023"/>
      <c r="O70" s="1023"/>
      <c r="P70" s="1023"/>
      <c r="Q70" s="1023"/>
      <c r="R70" s="1023"/>
    </row>
    <row r="71" spans="1:18">
      <c r="A71" s="1023"/>
      <c r="B71" s="1023"/>
      <c r="C71" s="1023"/>
      <c r="D71" s="1023"/>
      <c r="E71" s="1023"/>
      <c r="F71" s="1023"/>
      <c r="G71" s="1023"/>
      <c r="H71" s="1023"/>
      <c r="I71" s="1023"/>
      <c r="J71" s="1023"/>
      <c r="K71" s="1023"/>
      <c r="L71" s="1023"/>
      <c r="M71" s="1023"/>
      <c r="N71" s="1023"/>
      <c r="O71" s="1023"/>
      <c r="P71" s="1023"/>
      <c r="Q71" s="1023"/>
      <c r="R71" s="1023"/>
    </row>
    <row r="72" spans="1:18">
      <c r="A72" s="1023"/>
      <c r="B72" s="1023"/>
      <c r="C72" s="1023"/>
      <c r="D72" s="1023"/>
      <c r="E72" s="1023"/>
      <c r="F72" s="1023"/>
      <c r="G72" s="1023"/>
      <c r="H72" s="1023"/>
      <c r="I72" s="1023"/>
      <c r="J72" s="1023"/>
      <c r="K72" s="1023"/>
      <c r="L72" s="1023"/>
      <c r="M72" s="1023"/>
      <c r="N72" s="1023"/>
      <c r="O72" s="1023"/>
      <c r="P72" s="1023"/>
      <c r="Q72" s="1023"/>
      <c r="R72" s="1023"/>
    </row>
    <row r="73" spans="1:18">
      <c r="A73" s="1023"/>
      <c r="B73" s="1023"/>
      <c r="C73" s="1023"/>
      <c r="D73" s="1023"/>
      <c r="E73" s="1023"/>
      <c r="F73" s="1023"/>
      <c r="G73" s="1023"/>
      <c r="H73" s="1023"/>
      <c r="I73" s="1023"/>
      <c r="J73" s="1023"/>
      <c r="K73" s="1023"/>
      <c r="L73" s="1023"/>
      <c r="M73" s="1023"/>
      <c r="N73" s="1023"/>
      <c r="O73" s="1023"/>
      <c r="P73" s="1023"/>
      <c r="Q73" s="1023"/>
      <c r="R73" s="1023"/>
    </row>
    <row r="74" spans="1:18">
      <c r="A74" s="1023"/>
      <c r="B74" s="1023"/>
      <c r="C74" s="1023"/>
      <c r="D74" s="1023"/>
      <c r="E74" s="1023"/>
      <c r="F74" s="1023"/>
      <c r="G74" s="1023"/>
      <c r="H74" s="1023"/>
      <c r="I74" s="1023"/>
      <c r="J74" s="1023"/>
      <c r="K74" s="1023"/>
      <c r="L74" s="1023"/>
      <c r="M74" s="1023"/>
      <c r="N74" s="1023"/>
      <c r="O74" s="1023"/>
      <c r="P74" s="1023"/>
      <c r="Q74" s="1023"/>
      <c r="R74" s="1023"/>
    </row>
    <row r="75" spans="1:18">
      <c r="A75" s="1023"/>
      <c r="B75" s="1023"/>
      <c r="C75" s="1023"/>
      <c r="D75" s="1023"/>
      <c r="E75" s="1023"/>
      <c r="F75" s="1023"/>
      <c r="G75" s="1023"/>
      <c r="H75" s="1023"/>
      <c r="I75" s="1023"/>
      <c r="J75" s="1023"/>
      <c r="K75" s="1023"/>
      <c r="L75" s="1023"/>
      <c r="M75" s="1023"/>
      <c r="N75" s="1023"/>
      <c r="O75" s="1023"/>
      <c r="P75" s="1023"/>
      <c r="Q75" s="1023"/>
      <c r="R75" s="1023"/>
    </row>
    <row r="76" spans="1:18">
      <c r="A76" s="1023"/>
      <c r="B76" s="1023"/>
      <c r="C76" s="1023"/>
      <c r="D76" s="1023"/>
      <c r="E76" s="1023"/>
      <c r="F76" s="1023"/>
      <c r="G76" s="1023"/>
      <c r="H76" s="1023"/>
      <c r="I76" s="1023"/>
      <c r="J76" s="1023"/>
      <c r="K76" s="1023"/>
      <c r="L76" s="1023"/>
      <c r="M76" s="1023"/>
      <c r="N76" s="1023"/>
      <c r="O76" s="1023"/>
      <c r="P76" s="1023"/>
      <c r="Q76" s="1023"/>
      <c r="R76" s="1023"/>
    </row>
    <row r="77" spans="1:18">
      <c r="A77" s="1023"/>
      <c r="B77" s="1023"/>
      <c r="C77" s="1023"/>
      <c r="D77" s="1023"/>
      <c r="E77" s="1023"/>
      <c r="F77" s="1023"/>
      <c r="G77" s="1023"/>
      <c r="H77" s="1023"/>
      <c r="I77" s="1023"/>
      <c r="J77" s="1023"/>
      <c r="K77" s="1023"/>
      <c r="L77" s="1023"/>
      <c r="M77" s="1023"/>
      <c r="N77" s="1023"/>
      <c r="O77" s="1023"/>
      <c r="P77" s="1023"/>
      <c r="Q77" s="1023"/>
      <c r="R77" s="1023"/>
    </row>
    <row r="78" spans="1:18">
      <c r="A78" s="1023"/>
      <c r="B78" s="1023"/>
      <c r="C78" s="1023"/>
      <c r="D78" s="1023"/>
      <c r="E78" s="1023"/>
      <c r="F78" s="1023"/>
      <c r="G78" s="1023"/>
      <c r="H78" s="1023"/>
      <c r="I78" s="1023"/>
      <c r="J78" s="1023"/>
      <c r="K78" s="1023"/>
      <c r="L78" s="1023"/>
      <c r="M78" s="1023"/>
      <c r="N78" s="1023"/>
      <c r="O78" s="1023"/>
      <c r="P78" s="1023"/>
      <c r="Q78" s="1023"/>
      <c r="R78" s="1023"/>
    </row>
    <row r="79" spans="1:18">
      <c r="A79" s="1023"/>
      <c r="B79" s="1023"/>
      <c r="C79" s="1023"/>
      <c r="D79" s="1023"/>
      <c r="E79" s="1023"/>
      <c r="F79" s="1023"/>
      <c r="G79" s="1023"/>
      <c r="H79" s="1023"/>
      <c r="I79" s="1023"/>
      <c r="J79" s="1023"/>
      <c r="K79" s="1023"/>
      <c r="L79" s="1023"/>
      <c r="M79" s="1023"/>
      <c r="N79" s="1023"/>
      <c r="O79" s="1023"/>
      <c r="P79" s="1023"/>
      <c r="Q79" s="1023"/>
      <c r="R79" s="1023"/>
    </row>
    <row r="80" spans="1:18">
      <c r="A80" s="1023"/>
      <c r="B80" s="1023"/>
      <c r="C80" s="1023"/>
      <c r="D80" s="1023"/>
      <c r="E80" s="1023"/>
      <c r="F80" s="1023"/>
      <c r="G80" s="1023"/>
      <c r="H80" s="1023"/>
      <c r="I80" s="1023"/>
      <c r="J80" s="1023"/>
      <c r="K80" s="1023"/>
      <c r="L80" s="1023"/>
      <c r="M80" s="1023"/>
      <c r="N80" s="1023"/>
      <c r="O80" s="1023"/>
      <c r="P80" s="1023"/>
      <c r="Q80" s="1023"/>
      <c r="R80" s="1023"/>
    </row>
    <row r="81" spans="1:18">
      <c r="A81" s="1023"/>
      <c r="B81" s="1023"/>
      <c r="C81" s="1023"/>
      <c r="D81" s="1023"/>
      <c r="E81" s="1023"/>
      <c r="F81" s="1023"/>
      <c r="G81" s="1023"/>
      <c r="H81" s="1023"/>
      <c r="I81" s="1023"/>
      <c r="J81" s="1023"/>
      <c r="K81" s="1023"/>
      <c r="L81" s="1023"/>
      <c r="M81" s="1023"/>
      <c r="N81" s="1023"/>
      <c r="O81" s="1023"/>
      <c r="P81" s="1023"/>
      <c r="Q81" s="1023"/>
      <c r="R81" s="1023"/>
    </row>
    <row r="82" spans="1:18">
      <c r="A82" s="1023"/>
      <c r="B82" s="1023"/>
      <c r="C82" s="1023"/>
      <c r="D82" s="1023"/>
      <c r="E82" s="1023"/>
      <c r="F82" s="1023"/>
      <c r="G82" s="1023"/>
      <c r="H82" s="1023"/>
      <c r="I82" s="1023"/>
      <c r="J82" s="1023"/>
      <c r="K82" s="1023"/>
      <c r="L82" s="1023"/>
      <c r="M82" s="1023"/>
      <c r="N82" s="1023"/>
      <c r="O82" s="1023"/>
      <c r="P82" s="1023"/>
      <c r="Q82" s="1023"/>
      <c r="R82" s="1023"/>
    </row>
    <row r="83" spans="1:18">
      <c r="A83" s="1023"/>
      <c r="B83" s="1023"/>
      <c r="C83" s="1023"/>
      <c r="D83" s="1023"/>
      <c r="E83" s="1023"/>
      <c r="F83" s="1023"/>
      <c r="G83" s="1023"/>
      <c r="H83" s="1023"/>
      <c r="I83" s="1023"/>
      <c r="J83" s="1023"/>
      <c r="K83" s="1023"/>
      <c r="L83" s="1023"/>
      <c r="M83" s="1023"/>
      <c r="N83" s="1023"/>
      <c r="O83" s="1023"/>
      <c r="P83" s="1023"/>
      <c r="Q83" s="1023"/>
      <c r="R83" s="1023"/>
    </row>
    <row r="84" spans="1:18">
      <c r="A84" s="1023"/>
      <c r="B84" s="1023"/>
      <c r="C84" s="1023"/>
      <c r="D84" s="1023"/>
      <c r="E84" s="1023"/>
      <c r="F84" s="1023"/>
      <c r="G84" s="1023"/>
      <c r="H84" s="1023"/>
      <c r="I84" s="1023"/>
      <c r="J84" s="1023"/>
      <c r="K84" s="1023"/>
      <c r="L84" s="1023"/>
      <c r="M84" s="1023"/>
      <c r="N84" s="1023"/>
      <c r="O84" s="1023"/>
      <c r="P84" s="1023"/>
      <c r="Q84" s="1023"/>
      <c r="R84" s="1023"/>
    </row>
    <row r="85" spans="1:18">
      <c r="A85" s="1023"/>
      <c r="B85" s="1023"/>
      <c r="C85" s="1023"/>
      <c r="D85" s="1023"/>
      <c r="E85" s="1023"/>
      <c r="F85" s="1023"/>
      <c r="G85" s="1023"/>
      <c r="H85" s="1023"/>
      <c r="I85" s="1023"/>
      <c r="J85" s="1023"/>
      <c r="K85" s="1023"/>
      <c r="L85" s="1023"/>
      <c r="M85" s="1023"/>
      <c r="N85" s="1023"/>
      <c r="O85" s="1023"/>
      <c r="P85" s="1023"/>
      <c r="Q85" s="1023"/>
      <c r="R85" s="1023"/>
    </row>
    <row r="86" spans="1:18">
      <c r="A86" s="1023"/>
      <c r="B86" s="1023"/>
      <c r="C86" s="1023"/>
      <c r="D86" s="1023"/>
      <c r="E86" s="1023"/>
      <c r="F86" s="1023"/>
      <c r="G86" s="1023"/>
      <c r="H86" s="1023"/>
      <c r="I86" s="1023"/>
      <c r="J86" s="1023"/>
      <c r="K86" s="1023"/>
      <c r="L86" s="1023"/>
      <c r="M86" s="1023"/>
      <c r="N86" s="1023"/>
      <c r="O86" s="1023"/>
      <c r="P86" s="1023"/>
      <c r="Q86" s="1023"/>
      <c r="R86" s="1023"/>
    </row>
    <row r="87" spans="1:18">
      <c r="A87" s="1023"/>
      <c r="B87" s="1023"/>
      <c r="C87" s="1023"/>
      <c r="D87" s="1023"/>
      <c r="E87" s="1023"/>
      <c r="F87" s="1023"/>
      <c r="G87" s="1023"/>
      <c r="H87" s="1023"/>
      <c r="I87" s="1023"/>
      <c r="J87" s="1023"/>
      <c r="K87" s="1023"/>
      <c r="L87" s="1023"/>
      <c r="M87" s="1023"/>
      <c r="N87" s="1023"/>
      <c r="O87" s="1023"/>
      <c r="P87" s="1023"/>
      <c r="Q87" s="1023"/>
      <c r="R87" s="1023"/>
    </row>
    <row r="88" spans="1:18">
      <c r="A88" s="1023"/>
      <c r="B88" s="1023"/>
      <c r="C88" s="1023"/>
      <c r="D88" s="1023"/>
      <c r="E88" s="1023"/>
      <c r="F88" s="1023"/>
      <c r="G88" s="1023"/>
      <c r="H88" s="1023"/>
      <c r="I88" s="1023"/>
      <c r="J88" s="1023"/>
      <c r="K88" s="1023"/>
      <c r="L88" s="1023"/>
      <c r="M88" s="1023"/>
      <c r="N88" s="1023"/>
      <c r="O88" s="1023"/>
      <c r="P88" s="1023"/>
      <c r="Q88" s="1023"/>
      <c r="R88" s="1023"/>
    </row>
    <row r="89" spans="1:18">
      <c r="A89" s="1023"/>
      <c r="B89" s="1023"/>
      <c r="C89" s="1023"/>
      <c r="D89" s="1023"/>
      <c r="E89" s="1023"/>
      <c r="F89" s="1023"/>
      <c r="G89" s="1023"/>
      <c r="H89" s="1023"/>
      <c r="I89" s="1023"/>
      <c r="J89" s="1023"/>
      <c r="K89" s="1023"/>
      <c r="L89" s="1023"/>
      <c r="M89" s="1023"/>
      <c r="N89" s="1023"/>
      <c r="O89" s="1023"/>
      <c r="P89" s="1023"/>
      <c r="Q89" s="1023"/>
      <c r="R89" s="1023"/>
    </row>
    <row r="90" spans="1:18">
      <c r="A90" s="1023"/>
      <c r="B90" s="1023"/>
      <c r="C90" s="1023"/>
      <c r="D90" s="1023"/>
      <c r="E90" s="1023"/>
      <c r="F90" s="1023"/>
      <c r="G90" s="1023"/>
      <c r="H90" s="1023"/>
      <c r="I90" s="1023"/>
      <c r="J90" s="1023"/>
      <c r="K90" s="1023"/>
      <c r="L90" s="1023"/>
      <c r="M90" s="1023"/>
      <c r="N90" s="1023"/>
      <c r="O90" s="1023"/>
      <c r="P90" s="1023"/>
      <c r="Q90" s="1023"/>
      <c r="R90" s="1023"/>
    </row>
    <row r="91" spans="1:18">
      <c r="A91" s="1023"/>
      <c r="B91" s="1023"/>
      <c r="C91" s="1023"/>
      <c r="D91" s="1023"/>
      <c r="E91" s="1023"/>
      <c r="F91" s="1023"/>
      <c r="G91" s="1023"/>
      <c r="H91" s="1023"/>
      <c r="I91" s="1023"/>
      <c r="J91" s="1023"/>
      <c r="K91" s="1023"/>
      <c r="L91" s="1023"/>
      <c r="M91" s="1023"/>
      <c r="N91" s="1023"/>
      <c r="O91" s="1023"/>
      <c r="P91" s="1023"/>
      <c r="Q91" s="1023"/>
      <c r="R91" s="1023"/>
    </row>
    <row r="92" spans="1:18">
      <c r="A92" s="1023"/>
      <c r="B92" s="1023"/>
      <c r="C92" s="1023"/>
      <c r="D92" s="1023"/>
      <c r="E92" s="1023"/>
      <c r="F92" s="1023"/>
      <c r="G92" s="1023"/>
      <c r="H92" s="1023"/>
      <c r="I92" s="1023"/>
      <c r="J92" s="1023"/>
      <c r="K92" s="1023"/>
      <c r="L92" s="1023"/>
      <c r="M92" s="1023"/>
      <c r="N92" s="1023"/>
      <c r="O92" s="1023"/>
      <c r="P92" s="1023"/>
      <c r="Q92" s="1023"/>
      <c r="R92" s="1023"/>
    </row>
    <row r="93" spans="1:18">
      <c r="A93" s="1023"/>
      <c r="B93" s="1023"/>
      <c r="C93" s="1023"/>
      <c r="D93" s="1023"/>
      <c r="E93" s="1023"/>
      <c r="F93" s="1023"/>
      <c r="G93" s="1023"/>
      <c r="H93" s="1023"/>
      <c r="I93" s="1023"/>
      <c r="J93" s="1023"/>
      <c r="K93" s="1023"/>
      <c r="L93" s="1023"/>
      <c r="M93" s="1023"/>
      <c r="N93" s="1023"/>
      <c r="O93" s="1023"/>
      <c r="P93" s="1023"/>
      <c r="Q93" s="1023"/>
      <c r="R93" s="1023"/>
    </row>
    <row r="94" spans="1:18">
      <c r="A94" s="1023"/>
      <c r="B94" s="1023"/>
      <c r="C94" s="1023"/>
      <c r="D94" s="1023"/>
      <c r="E94" s="1023"/>
      <c r="F94" s="1023"/>
      <c r="G94" s="1023"/>
      <c r="H94" s="1023"/>
      <c r="I94" s="1023"/>
      <c r="J94" s="1023"/>
      <c r="K94" s="1023"/>
      <c r="L94" s="1023"/>
      <c r="M94" s="1023"/>
      <c r="N94" s="1023"/>
      <c r="O94" s="1023"/>
      <c r="P94" s="1023"/>
      <c r="Q94" s="1023"/>
      <c r="R94" s="1023"/>
    </row>
  </sheetData>
  <mergeCells count="17">
    <mergeCell ref="G11:G12"/>
    <mergeCell ref="B53:K53"/>
    <mergeCell ref="B20:K20"/>
    <mergeCell ref="A2:K2"/>
    <mergeCell ref="A3:K3"/>
    <mergeCell ref="A4:K4"/>
    <mergeCell ref="A5:K5"/>
    <mergeCell ref="B9:K9"/>
    <mergeCell ref="M53:AC53"/>
    <mergeCell ref="Q22:AC22"/>
    <mergeCell ref="Q11:AC11"/>
    <mergeCell ref="M2:Y2"/>
    <mergeCell ref="M3:Y3"/>
    <mergeCell ref="M4:Y4"/>
    <mergeCell ref="M5:Y5"/>
    <mergeCell ref="M21:AC21"/>
    <mergeCell ref="M9:AC9"/>
  </mergeCells>
  <phoneticPr fontId="5"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topLeftCell="A4" zoomScale="81" zoomScaleNormal="81" zoomScaleSheetLayoutView="100" workbookViewId="0">
      <selection activeCell="A4" sqref="A1:XFD1048576"/>
    </sheetView>
  </sheetViews>
  <sheetFormatPr defaultColWidth="8.85546875" defaultRowHeight="12.75"/>
  <cols>
    <col min="1" max="1" width="9.140625" style="1231" customWidth="1"/>
    <col min="2" max="2" width="65.140625" style="1023" bestFit="1" customWidth="1"/>
    <col min="3" max="3" width="16.42578125" style="1023" bestFit="1" customWidth="1"/>
    <col min="4" max="4" width="1.5703125" style="1023" customWidth="1"/>
    <col min="5" max="5" width="15" style="1023" bestFit="1" customWidth="1"/>
    <col min="6" max="7" width="8.85546875" style="1023"/>
    <col min="8" max="8" width="10.85546875" style="1023" bestFit="1" customWidth="1"/>
    <col min="9" max="16384" width="8.85546875" style="1023"/>
  </cols>
  <sheetData>
    <row r="1" spans="1:15" ht="15">
      <c r="A1" s="1050"/>
    </row>
    <row r="2" spans="1:15" ht="15">
      <c r="A2" s="2447" t="str">
        <f>+'PSO TCOS'!F4</f>
        <v xml:space="preserve">AEP West SPP Member Operating Companies </v>
      </c>
      <c r="B2" s="2447"/>
      <c r="C2" s="2447"/>
      <c r="D2" s="2447"/>
      <c r="E2" s="2447"/>
      <c r="F2" s="1195"/>
      <c r="G2" s="1195"/>
      <c r="H2" s="1195"/>
      <c r="I2" s="1195"/>
      <c r="J2" s="1195"/>
      <c r="K2" s="1195"/>
      <c r="L2" s="1195"/>
      <c r="M2" s="1195"/>
      <c r="N2" s="1195"/>
      <c r="O2" s="1195"/>
    </row>
    <row r="3" spans="1:15" ht="15">
      <c r="A3" s="2441" t="str">
        <f>+'PSO WS A-1 - Plant'!A3</f>
        <v xml:space="preserve">Actual / Projected 2018 Rate Year Cost of Service Formula Rate </v>
      </c>
      <c r="B3" s="2441"/>
      <c r="C3" s="2441"/>
      <c r="D3" s="2441"/>
      <c r="E3" s="2441"/>
      <c r="F3" s="1197"/>
      <c r="G3" s="1197"/>
      <c r="H3" s="1197"/>
      <c r="I3" s="1197"/>
      <c r="J3" s="1197"/>
      <c r="K3" s="1197"/>
      <c r="L3" s="1197"/>
      <c r="M3" s="1196"/>
      <c r="N3" s="1196"/>
      <c r="O3" s="1196"/>
    </row>
    <row r="4" spans="1:15" ht="15.75">
      <c r="A4" s="2442" t="s">
        <v>112</v>
      </c>
      <c r="B4" s="2441"/>
      <c r="C4" s="2441"/>
      <c r="D4" s="2441"/>
      <c r="E4" s="2441"/>
      <c r="F4" s="1197"/>
      <c r="G4" s="1197"/>
      <c r="H4" s="1197"/>
      <c r="I4" s="1197"/>
      <c r="J4" s="1197"/>
      <c r="K4" s="1197"/>
      <c r="L4" s="1197"/>
      <c r="M4" s="1197"/>
      <c r="N4" s="1197"/>
      <c r="O4" s="1197"/>
    </row>
    <row r="5" spans="1:15" ht="15.75">
      <c r="A5" s="2479" t="str">
        <f>+'PSO TCOS'!F8</f>
        <v>PUBLIC SERVICE COMPANY OF OKLAHOMA</v>
      </c>
      <c r="B5" s="2479"/>
      <c r="C5" s="2479"/>
      <c r="D5" s="2479"/>
      <c r="E5" s="2479"/>
      <c r="F5" s="787"/>
      <c r="G5" s="787"/>
      <c r="H5" s="787"/>
      <c r="I5" s="787"/>
      <c r="J5" s="787"/>
      <c r="K5" s="787"/>
      <c r="L5" s="787"/>
      <c r="M5" s="787"/>
      <c r="N5" s="787"/>
      <c r="O5" s="787"/>
    </row>
    <row r="7" spans="1:15">
      <c r="A7" s="1267" t="s">
        <v>310</v>
      </c>
      <c r="B7" s="1058" t="s">
        <v>303</v>
      </c>
      <c r="C7" s="1058" t="s">
        <v>304</v>
      </c>
    </row>
    <row r="8" spans="1:15">
      <c r="A8" s="1267" t="s">
        <v>248</v>
      </c>
      <c r="B8" s="1267" t="s">
        <v>308</v>
      </c>
      <c r="C8" s="1267">
        <f>+'PSO TCOS'!N2</f>
        <v>2018</v>
      </c>
    </row>
    <row r="9" spans="1:15">
      <c r="B9" s="1268"/>
      <c r="C9" s="1058"/>
    </row>
    <row r="10" spans="1:15">
      <c r="A10" s="1231">
        <v>1</v>
      </c>
      <c r="B10" s="1269" t="str">
        <f>"Net Funds from IPP Customers @ 12/31/"&amp;C8-1&amp;" ("&amp;C8&amp;" FORM 1, P269, (B))"</f>
        <v>Net Funds from IPP Customers @ 12/31/2017 (2018 FORM 1, P269, (B))</v>
      </c>
      <c r="C10" s="965">
        <v>1050066</v>
      </c>
      <c r="D10" s="1096"/>
      <c r="E10" s="1077"/>
    </row>
    <row r="11" spans="1:15">
      <c r="A11" s="1231" t="s">
        <v>119</v>
      </c>
      <c r="B11" s="1269"/>
      <c r="C11" s="1096"/>
      <c r="D11" s="1096"/>
    </row>
    <row r="12" spans="1:15">
      <c r="A12" s="1231">
        <v>2</v>
      </c>
      <c r="B12" s="1270" t="s">
        <v>849</v>
      </c>
      <c r="C12" s="965"/>
      <c r="D12" s="1096"/>
    </row>
    <row r="13" spans="1:15">
      <c r="B13" s="1269"/>
      <c r="C13" s="1096"/>
      <c r="D13" s="1096"/>
    </row>
    <row r="14" spans="1:15">
      <c r="A14" s="1231">
        <f>+A12+1</f>
        <v>3</v>
      </c>
      <c r="B14" s="1270" t="s">
        <v>850</v>
      </c>
      <c r="C14" s="965"/>
      <c r="D14" s="1096"/>
    </row>
    <row r="15" spans="1:15">
      <c r="B15" s="1269"/>
      <c r="C15" s="1096"/>
      <c r="D15" s="1096"/>
    </row>
    <row r="16" spans="1:15">
      <c r="A16" s="1231">
        <f>+A14+1</f>
        <v>4</v>
      </c>
      <c r="B16" s="1271" t="s">
        <v>851</v>
      </c>
      <c r="C16" s="1096"/>
      <c r="D16" s="1096"/>
    </row>
    <row r="17" spans="1:8">
      <c r="A17" s="1231">
        <f>+A16+1</f>
        <v>5</v>
      </c>
      <c r="B17" s="1269" t="s">
        <v>360</v>
      </c>
      <c r="C17" s="1074"/>
      <c r="D17" s="1096"/>
      <c r="H17" s="1096"/>
    </row>
    <row r="18" spans="1:8">
      <c r="A18" s="1231">
        <f>+A17+1</f>
        <v>6</v>
      </c>
      <c r="B18" s="1269" t="s">
        <v>256</v>
      </c>
      <c r="C18" s="1074"/>
      <c r="D18" s="1096"/>
    </row>
    <row r="19" spans="1:8">
      <c r="B19" s="1269"/>
      <c r="C19" s="1272"/>
      <c r="D19" s="1096"/>
    </row>
    <row r="20" spans="1:8">
      <c r="A20" s="1231">
        <f>+A18+1</f>
        <v>7</v>
      </c>
      <c r="B20" s="1269" t="str">
        <f>" Net Funds from IPP Customers 12/31/"&amp;C8&amp;" ("&amp;C8&amp;" FORM 1, P269, (F))"</f>
        <v xml:space="preserve"> Net Funds from IPP Customers 12/31/2018 (2018 FORM 1, P269, (F))</v>
      </c>
      <c r="C20" s="1096">
        <f>+C10+C12+C14+C17+C18</f>
        <v>1050066</v>
      </c>
      <c r="D20" s="1052"/>
      <c r="E20" s="1077"/>
    </row>
    <row r="21" spans="1:8">
      <c r="B21" s="1269"/>
      <c r="C21" s="1096"/>
      <c r="D21" s="1096"/>
    </row>
    <row r="22" spans="1:8">
      <c r="A22" s="1231">
        <f>+A20+1</f>
        <v>8</v>
      </c>
      <c r="B22" s="1269" t="str">
        <f>"Average Balance for "&amp;C8&amp;" ((ln "&amp;A10&amp;" + ln "&amp;A20&amp;")/2)"</f>
        <v>Average Balance for 2018 ((ln 1 + ln 7)/2)</v>
      </c>
      <c r="C22" s="1273">
        <f>AVERAGE(C20,C10)</f>
        <v>1050066</v>
      </c>
      <c r="D22" s="1096"/>
    </row>
    <row r="23" spans="1:8">
      <c r="C23" s="1096"/>
      <c r="D23" s="1096"/>
    </row>
    <row r="24" spans="1:8">
      <c r="C24" s="1096"/>
      <c r="D24" s="1096"/>
    </row>
    <row r="31" spans="1:8">
      <c r="D31" s="1274"/>
    </row>
    <row r="37" spans="3:3">
      <c r="C37" s="1275"/>
    </row>
    <row r="42" spans="3:3" ht="1.5" customHeight="1"/>
    <row r="43" spans="3:3" hidden="1"/>
    <row r="44" spans="3:3" hidden="1"/>
    <row r="45" spans="3:3" hidden="1"/>
    <row r="46" spans="3:3" hidden="1"/>
    <row r="54" spans="1:1">
      <c r="A54" s="1023"/>
    </row>
    <row r="55" spans="1:1">
      <c r="A55" s="1023"/>
    </row>
    <row r="56" spans="1:1">
      <c r="A56" s="1023"/>
    </row>
    <row r="57" spans="1:1">
      <c r="A57" s="1023"/>
    </row>
    <row r="58" spans="1:1">
      <c r="A58" s="1023"/>
    </row>
    <row r="59" spans="1:1">
      <c r="A59" s="1023"/>
    </row>
    <row r="60" spans="1:1">
      <c r="A60" s="1023"/>
    </row>
    <row r="61" spans="1:1">
      <c r="A61" s="1023"/>
    </row>
    <row r="62" spans="1:1">
      <c r="A62" s="1023"/>
    </row>
    <row r="63" spans="1:1">
      <c r="A63" s="1023"/>
    </row>
    <row r="64" spans="1:1">
      <c r="A64" s="1023"/>
    </row>
    <row r="65" spans="1:1">
      <c r="A65" s="1023"/>
    </row>
    <row r="66" spans="1:1">
      <c r="A66" s="1023"/>
    </row>
    <row r="67" spans="1:1">
      <c r="A67" s="1023"/>
    </row>
    <row r="68" spans="1:1">
      <c r="A68" s="1023"/>
    </row>
    <row r="69" spans="1:1">
      <c r="A69" s="1023"/>
    </row>
    <row r="70" spans="1:1">
      <c r="A70" s="1023"/>
    </row>
    <row r="71" spans="1:1">
      <c r="A71" s="1023"/>
    </row>
    <row r="72" spans="1:1">
      <c r="A72" s="1023"/>
    </row>
    <row r="73" spans="1:1">
      <c r="A73" s="1023"/>
    </row>
    <row r="74" spans="1:1">
      <c r="A74" s="1023"/>
    </row>
    <row r="75" spans="1:1">
      <c r="A75" s="1023"/>
    </row>
    <row r="76" spans="1:1">
      <c r="A76" s="1023"/>
    </row>
    <row r="77" spans="1:1">
      <c r="A77" s="1023"/>
    </row>
    <row r="78" spans="1:1">
      <c r="A78" s="1023"/>
    </row>
    <row r="79" spans="1:1">
      <c r="A79" s="1023"/>
    </row>
    <row r="80" spans="1:1">
      <c r="A80" s="1023"/>
    </row>
    <row r="81" spans="1:1">
      <c r="A81" s="1023"/>
    </row>
    <row r="82" spans="1:1">
      <c r="A82" s="1023"/>
    </row>
    <row r="83" spans="1:1">
      <c r="A83" s="1023"/>
    </row>
    <row r="84" spans="1:1">
      <c r="A84" s="1023"/>
    </row>
    <row r="85" spans="1:1">
      <c r="A85" s="1023"/>
    </row>
    <row r="86" spans="1:1">
      <c r="A86" s="1023"/>
    </row>
    <row r="87" spans="1:1">
      <c r="A87" s="1023"/>
    </row>
    <row r="88" spans="1:1">
      <c r="A88" s="1023"/>
    </row>
    <row r="89" spans="1:1">
      <c r="A89" s="1023"/>
    </row>
    <row r="90" spans="1:1">
      <c r="A90" s="1023"/>
    </row>
    <row r="91" spans="1:1">
      <c r="A91" s="1023"/>
    </row>
    <row r="92" spans="1:1">
      <c r="A92" s="1023"/>
    </row>
    <row r="93" spans="1:1">
      <c r="A93" s="1023"/>
    </row>
    <row r="94" spans="1:1">
      <c r="A94" s="1023"/>
    </row>
    <row r="95" spans="1:1">
      <c r="A95" s="1023"/>
    </row>
    <row r="96" spans="1:1">
      <c r="A96" s="1023"/>
    </row>
    <row r="97" spans="1:1">
      <c r="A97" s="1023"/>
    </row>
    <row r="98" spans="1:1">
      <c r="A98" s="1023"/>
    </row>
    <row r="99" spans="1:1">
      <c r="A99" s="1023"/>
    </row>
    <row r="100" spans="1:1">
      <c r="A100" s="1023"/>
    </row>
    <row r="101" spans="1:1">
      <c r="A101" s="1023"/>
    </row>
    <row r="102" spans="1:1">
      <c r="A102" s="1023"/>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zoomScale="81" zoomScaleNormal="81" zoomScaleSheetLayoutView="90" zoomScalePageLayoutView="80" workbookViewId="0">
      <selection activeCell="H26" sqref="H26"/>
    </sheetView>
  </sheetViews>
  <sheetFormatPr defaultColWidth="8.85546875" defaultRowHeight="12.75"/>
  <cols>
    <col min="1" max="1" width="9.28515625" style="1023" customWidth="1"/>
    <col min="2" max="2" width="6.7109375" style="1023" customWidth="1"/>
    <col min="3" max="3" width="24.5703125" style="1023" customWidth="1"/>
    <col min="4" max="4" width="17.7109375" style="1231" customWidth="1"/>
    <col min="5" max="5" width="21.7109375" style="1023" customWidth="1"/>
    <col min="6" max="8" width="17.7109375" style="1023" customWidth="1"/>
    <col min="9" max="9" width="19.5703125" style="1052" customWidth="1"/>
    <col min="10" max="12" width="17.7109375" style="1023" customWidth="1"/>
    <col min="13" max="13" width="20" style="1023" customWidth="1"/>
    <col min="14" max="14" width="19.5703125" style="1023" customWidth="1"/>
    <col min="15" max="15" width="19" style="1106" customWidth="1"/>
    <col min="16" max="16" width="16.42578125" style="1106" customWidth="1"/>
    <col min="17" max="17" width="57.85546875" style="1023" bestFit="1" customWidth="1"/>
    <col min="18" max="16384" width="8.85546875" style="1023"/>
  </cols>
  <sheetData>
    <row r="1" spans="1:19" ht="15">
      <c r="A1" s="1050"/>
    </row>
    <row r="2" spans="1:19" ht="18">
      <c r="A2" s="2458" t="str">
        <f>'PSO TCOS'!F4</f>
        <v xml:space="preserve">AEP West SPP Member Operating Companies </v>
      </c>
      <c r="B2" s="2458"/>
      <c r="C2" s="2458"/>
      <c r="D2" s="2458"/>
      <c r="E2" s="2458"/>
      <c r="F2" s="2458"/>
      <c r="G2" s="2458"/>
      <c r="H2" s="2458"/>
      <c r="I2" s="2458"/>
    </row>
    <row r="3" spans="1:19" ht="18">
      <c r="A3" s="2458" t="str">
        <f>+'PSO WS A-1 - Plant'!A3</f>
        <v xml:space="preserve">Actual / Projected 2018 Rate Year Cost of Service Formula Rate </v>
      </c>
      <c r="B3" s="2458"/>
      <c r="C3" s="2458"/>
      <c r="D3" s="2458"/>
      <c r="E3" s="2458"/>
      <c r="F3" s="2458"/>
      <c r="G3" s="2458"/>
      <c r="H3" s="2458"/>
      <c r="I3" s="2458"/>
      <c r="P3" s="1276"/>
    </row>
    <row r="4" spans="1:19" ht="18">
      <c r="A4" s="2458" t="s">
        <v>890</v>
      </c>
      <c r="B4" s="2458"/>
      <c r="C4" s="2458"/>
      <c r="D4" s="2458"/>
      <c r="E4" s="2458"/>
      <c r="F4" s="2458"/>
      <c r="G4" s="2458"/>
      <c r="H4" s="2458"/>
      <c r="I4" s="2458"/>
    </row>
    <row r="5" spans="1:19" ht="18">
      <c r="A5" s="2486" t="str">
        <f>+'PSO TCOS'!F8</f>
        <v>PUBLIC SERVICE COMPANY OF OKLAHOMA</v>
      </c>
      <c r="B5" s="2486"/>
      <c r="C5" s="2486"/>
      <c r="D5" s="2486"/>
      <c r="E5" s="2486"/>
      <c r="F5" s="2486"/>
      <c r="G5" s="2486"/>
      <c r="H5" s="2486"/>
      <c r="I5" s="2486"/>
      <c r="P5" s="1023"/>
    </row>
    <row r="6" spans="1:19" ht="20.25">
      <c r="A6" s="1055"/>
      <c r="C6" s="1277"/>
      <c r="P6" s="1276" t="s">
        <v>500</v>
      </c>
    </row>
    <row r="7" spans="1:19" ht="35.25" customHeight="1">
      <c r="A7" s="1278" t="s">
        <v>310</v>
      </c>
      <c r="B7" s="1279" t="s">
        <v>312</v>
      </c>
      <c r="C7" s="2487" t="str">
        <f>"Calculate Return and Income Taxes with "&amp;F12&amp;" basis point ROE increase for Projects Qualified for Incentive."</f>
        <v>Calculate Return and Income Taxes with 0 basis point ROE increase for Projects Qualified for Incentive.</v>
      </c>
      <c r="D7" s="2451"/>
      <c r="E7" s="2451"/>
      <c r="F7" s="2451"/>
      <c r="G7" s="2451"/>
      <c r="H7" s="2451"/>
      <c r="I7" s="2451"/>
      <c r="J7" s="2456" t="s">
        <v>432</v>
      </c>
      <c r="K7" s="2456"/>
      <c r="L7" s="2456"/>
      <c r="M7" s="2456"/>
      <c r="N7" s="2456"/>
    </row>
    <row r="8" spans="1:19" ht="15.75" customHeight="1">
      <c r="A8" s="1278" t="s">
        <v>248</v>
      </c>
      <c r="C8" s="1280"/>
      <c r="D8" s="1280"/>
      <c r="E8" s="1280"/>
      <c r="F8" s="1280"/>
      <c r="G8" s="1280"/>
      <c r="H8" s="1280"/>
      <c r="I8" s="1280"/>
      <c r="J8" s="2456"/>
      <c r="K8" s="2456"/>
      <c r="L8" s="2456"/>
      <c r="M8" s="2456"/>
      <c r="N8" s="2456"/>
      <c r="P8" s="1023"/>
      <c r="Q8" s="1023" t="s">
        <v>168</v>
      </c>
    </row>
    <row r="9" spans="1:19" ht="15.75">
      <c r="C9" s="1281" t="str">
        <f>"A.   Determine 'R' with hypothetical "&amp;F12&amp;" basis point increase in ROE for Identified Projects"</f>
        <v>A.   Determine 'R' with hypothetical 0 basis point increase in ROE for Identified Projects</v>
      </c>
      <c r="J9" s="2456"/>
      <c r="K9" s="2456"/>
      <c r="L9" s="2456"/>
      <c r="M9" s="2456"/>
      <c r="N9" s="2456"/>
      <c r="P9" s="1282" t="s">
        <v>162</v>
      </c>
      <c r="Q9" s="1276" t="s">
        <v>89</v>
      </c>
    </row>
    <row r="10" spans="1:19" ht="18" customHeight="1" thickBot="1">
      <c r="J10" s="2456"/>
      <c r="K10" s="2456"/>
      <c r="L10" s="2456"/>
      <c r="M10" s="2456"/>
      <c r="N10" s="2456"/>
      <c r="P10" s="1276" t="s">
        <v>439</v>
      </c>
    </row>
    <row r="11" spans="1:19" ht="13.5" thickBot="1">
      <c r="A11" s="1231">
        <v>1</v>
      </c>
      <c r="C11" s="247" t="str">
        <f>"   ROE w/o incentives  (TCOS, ln "&amp;'PSO TCOS'!B237&amp;")"</f>
        <v xml:space="preserve">   ROE w/o incentives  (TCOS, ln 143)</v>
      </c>
      <c r="E11" s="1283"/>
      <c r="F11" s="1284">
        <f>+'PSO TCOS'!J237</f>
        <v>0.105</v>
      </c>
      <c r="G11" s="1284"/>
      <c r="H11" s="1285"/>
      <c r="I11" s="1286"/>
      <c r="J11" s="1280"/>
      <c r="K11" s="1280"/>
      <c r="L11" s="1280"/>
      <c r="M11" s="1280"/>
      <c r="N11" s="1280"/>
      <c r="O11" s="1287"/>
      <c r="P11" s="1288" t="s">
        <v>481</v>
      </c>
      <c r="Q11" s="1289" t="s">
        <v>88</v>
      </c>
      <c r="R11" s="1290"/>
    </row>
    <row r="12" spans="1:19" ht="18" customHeight="1">
      <c r="A12" s="1231">
        <f>+A11+1</f>
        <v>2</v>
      </c>
      <c r="C12" s="247" t="s">
        <v>150</v>
      </c>
      <c r="E12" s="1283"/>
      <c r="F12" s="1291">
        <v>0</v>
      </c>
      <c r="G12" s="1292" t="s">
        <v>340</v>
      </c>
      <c r="I12" s="1023"/>
      <c r="J12" s="2480" t="s">
        <v>194</v>
      </c>
      <c r="K12" s="2481"/>
      <c r="L12" s="2481"/>
      <c r="M12" s="2481"/>
      <c r="N12" s="2482"/>
      <c r="O12" s="1287"/>
      <c r="P12" s="1293">
        <f>+K19</f>
        <v>2018</v>
      </c>
      <c r="Q12" s="1294" t="s">
        <v>51</v>
      </c>
      <c r="R12" s="1290"/>
    </row>
    <row r="13" spans="1:19" ht="17.25" customHeight="1">
      <c r="A13" s="1231">
        <f>+A12+1</f>
        <v>3</v>
      </c>
      <c r="C13" s="247" t="str">
        <f>"   ROE with additional "&amp;F12&amp;" basis point incentive"</f>
        <v xml:space="preserve">   ROE with additional 0 basis point incentive</v>
      </c>
      <c r="D13" s="1283"/>
      <c r="E13" s="1283"/>
      <c r="F13" s="1295">
        <f>IF((F11+(F12/10000)&gt;0.1245),"ERROR",F11+(F12/10000))</f>
        <v>0.105</v>
      </c>
      <c r="G13" s="1296" t="s">
        <v>889</v>
      </c>
      <c r="I13" s="1297"/>
      <c r="J13" s="2483"/>
      <c r="K13" s="2484"/>
      <c r="L13" s="2484"/>
      <c r="M13" s="2484"/>
      <c r="N13" s="2485"/>
      <c r="O13" s="1287"/>
      <c r="P13" s="1298">
        <f>+F11</f>
        <v>0.105</v>
      </c>
      <c r="Q13" s="1023" t="str">
        <f>+C11</f>
        <v xml:space="preserve">   ROE w/o incentives  (TCOS, ln 143)</v>
      </c>
      <c r="R13" s="1299"/>
      <c r="S13" s="1106"/>
    </row>
    <row r="14" spans="1:19" ht="16.5" customHeight="1">
      <c r="A14" s="1231">
        <f t="shared" ref="A14:A73" si="0">+A13+1</f>
        <v>4</v>
      </c>
      <c r="C14" s="1300" t="str">
        <f>"   Determine R  (cost of long term debt, cost of preferred stock and percent is from TCOS, lns "&amp;'PSO TCOS'!B235&amp;" through "&amp;'PSO TCOS'!B237&amp;")"</f>
        <v xml:space="preserve">   Determine R  (cost of long term debt, cost of preferred stock and percent is from TCOS, lns 141 through 143)</v>
      </c>
      <c r="E14" s="1283"/>
      <c r="F14" s="1295"/>
      <c r="G14" s="1295"/>
      <c r="H14" s="1283"/>
      <c r="I14" s="1297"/>
      <c r="J14" s="2483"/>
      <c r="K14" s="2484"/>
      <c r="L14" s="2484"/>
      <c r="M14" s="2484"/>
      <c r="N14" s="2485"/>
      <c r="O14" s="1287"/>
      <c r="P14" s="1301">
        <f>+F12</f>
        <v>0</v>
      </c>
      <c r="Q14" s="1294" t="s">
        <v>150</v>
      </c>
      <c r="R14" s="1299"/>
      <c r="S14" s="1106"/>
    </row>
    <row r="15" spans="1:19" ht="16.5" customHeight="1">
      <c r="A15" s="1231">
        <f t="shared" si="0"/>
        <v>5</v>
      </c>
      <c r="C15" s="1287"/>
      <c r="D15" s="1302" t="s">
        <v>287</v>
      </c>
      <c r="E15" s="1302" t="s">
        <v>286</v>
      </c>
      <c r="F15" s="1303" t="s">
        <v>372</v>
      </c>
      <c r="G15" s="1303"/>
      <c r="H15" s="1283"/>
      <c r="I15" s="1297"/>
      <c r="J15" s="1304"/>
      <c r="K15" s="1305"/>
      <c r="L15" s="1305"/>
      <c r="M15" s="1305"/>
      <c r="N15" s="1306"/>
      <c r="O15" s="1287"/>
      <c r="P15" s="1307">
        <f>+D16</f>
        <v>0.51250191622016406</v>
      </c>
      <c r="Q15" s="1308" t="s">
        <v>442</v>
      </c>
      <c r="R15" s="1299"/>
      <c r="S15" s="1106"/>
    </row>
    <row r="16" spans="1:19">
      <c r="A16" s="1231">
        <f t="shared" si="0"/>
        <v>6</v>
      </c>
      <c r="C16" s="1309" t="s">
        <v>375</v>
      </c>
      <c r="D16" s="1310">
        <f>'PSO TCOS'!G235</f>
        <v>0.51250191622016406</v>
      </c>
      <c r="E16" s="1311">
        <f>+'PSO TCOS'!J235</f>
        <v>4.6781018729819407E-2</v>
      </c>
      <c r="F16" s="1312">
        <f>E16*D16</f>
        <v>2.3975361741763832E-2</v>
      </c>
      <c r="G16" s="1313"/>
      <c r="H16" s="1283"/>
      <c r="I16" s="1297"/>
      <c r="J16" s="1314"/>
      <c r="K16" s="1315"/>
      <c r="L16" s="1315"/>
      <c r="M16" s="1315"/>
      <c r="N16" s="1316"/>
      <c r="O16" s="1317"/>
      <c r="P16" s="1307">
        <f>+E16</f>
        <v>4.6781018729819407E-2</v>
      </c>
      <c r="Q16" s="1308" t="s">
        <v>443</v>
      </c>
      <c r="R16" s="1299"/>
      <c r="S16" s="1106"/>
    </row>
    <row r="17" spans="1:19">
      <c r="A17" s="1231">
        <f t="shared" si="0"/>
        <v>7</v>
      </c>
      <c r="C17" s="1309" t="s">
        <v>376</v>
      </c>
      <c r="D17" s="1310">
        <f>'PSO TCOS'!G236</f>
        <v>0</v>
      </c>
      <c r="E17" s="1311">
        <f>+'PSO TCOS'!J236</f>
        <v>0</v>
      </c>
      <c r="F17" s="1312">
        <f>E17*D17</f>
        <v>0</v>
      </c>
      <c r="G17" s="1313"/>
      <c r="H17" s="1318"/>
      <c r="I17" s="1318"/>
      <c r="J17" s="1319"/>
      <c r="K17" s="1320"/>
      <c r="L17" s="1287" t="s">
        <v>373</v>
      </c>
      <c r="M17" s="1287" t="s">
        <v>434</v>
      </c>
      <c r="N17" s="1321" t="s">
        <v>374</v>
      </c>
      <c r="O17" s="1322"/>
      <c r="P17" s="1307">
        <f>+D17</f>
        <v>0</v>
      </c>
      <c r="Q17" s="1308" t="s">
        <v>444</v>
      </c>
      <c r="R17" s="1299"/>
      <c r="S17" s="1106"/>
    </row>
    <row r="18" spans="1:19">
      <c r="A18" s="1231">
        <f t="shared" si="0"/>
        <v>8</v>
      </c>
      <c r="C18" s="1309" t="s">
        <v>368</v>
      </c>
      <c r="D18" s="1310">
        <f>'PSO TCOS'!G237</f>
        <v>0.48749808377983594</v>
      </c>
      <c r="E18" s="1311">
        <f>+F13</f>
        <v>0.105</v>
      </c>
      <c r="F18" s="1323">
        <f>E18*D18</f>
        <v>5.1187298796882774E-2</v>
      </c>
      <c r="G18" s="1324"/>
      <c r="H18" s="1318"/>
      <c r="I18" s="1318"/>
      <c r="J18" s="1325"/>
      <c r="K18" s="1106"/>
      <c r="L18" s="1106"/>
      <c r="M18" s="1106"/>
      <c r="N18" s="1294"/>
      <c r="O18" s="1322"/>
      <c r="P18" s="1307">
        <f>+E17</f>
        <v>0</v>
      </c>
      <c r="Q18" s="1308" t="s">
        <v>445</v>
      </c>
      <c r="R18" s="1299"/>
      <c r="S18" s="1106"/>
    </row>
    <row r="19" spans="1:19" ht="13.5" thickBot="1">
      <c r="A19" s="1231">
        <f t="shared" si="0"/>
        <v>9</v>
      </c>
      <c r="C19" s="247"/>
      <c r="D19" s="1283"/>
      <c r="E19" s="1326" t="s">
        <v>377</v>
      </c>
      <c r="F19" s="1312">
        <f>SUM(F16:F18)</f>
        <v>7.5162660538646606E-2</v>
      </c>
      <c r="G19" s="1313"/>
      <c r="H19" s="1327"/>
      <c r="I19" s="1318"/>
      <c r="J19" s="1328" t="s">
        <v>430</v>
      </c>
      <c r="K19" s="1329">
        <f>+'PSO TCOS'!$N$2</f>
        <v>2018</v>
      </c>
      <c r="L19" s="1330">
        <f>+P44</f>
        <v>0</v>
      </c>
      <c r="M19" s="1330">
        <f>+P45</f>
        <v>0</v>
      </c>
      <c r="N19" s="1331">
        <f>+P46</f>
        <v>0</v>
      </c>
      <c r="O19" s="1322"/>
      <c r="P19" s="1307">
        <f>+D18</f>
        <v>0.48749808377983594</v>
      </c>
      <c r="Q19" s="1332" t="s">
        <v>446</v>
      </c>
      <c r="R19" s="1299"/>
      <c r="S19" s="1106"/>
    </row>
    <row r="20" spans="1:19">
      <c r="A20" s="1231"/>
      <c r="D20" s="1333"/>
      <c r="E20" s="1333"/>
      <c r="F20" s="1318"/>
      <c r="G20" s="1318"/>
      <c r="H20" s="1318"/>
      <c r="I20" s="1318"/>
      <c r="J20" s="1334"/>
      <c r="K20" s="1334"/>
      <c r="L20" s="1334"/>
      <c r="M20" s="1334"/>
      <c r="N20" s="1334"/>
      <c r="O20" s="1335"/>
      <c r="P20" s="1336">
        <f>+E23</f>
        <v>459255420.5005275</v>
      </c>
      <c r="Q20" s="1337" t="str">
        <f>+C23</f>
        <v xml:space="preserve">   Rate Base  (TCOS, ln 63)</v>
      </c>
      <c r="R20" s="1290"/>
      <c r="S20" s="1106"/>
    </row>
    <row r="21" spans="1:19" ht="15.75">
      <c r="A21" s="1231"/>
      <c r="C21" s="1281" t="str">
        <f>"B.   Determine Return using 'R' with hypothetical "&amp;F12&amp;" basis point ROE increase for Identified Projects."</f>
        <v>B.   Determine Return using 'R' with hypothetical 0 basis point ROE increase for Identified Projects.</v>
      </c>
      <c r="D21" s="1333"/>
      <c r="E21" s="1333"/>
      <c r="F21" s="1318"/>
      <c r="G21" s="1318"/>
      <c r="H21" s="1318"/>
      <c r="I21" s="1283"/>
      <c r="J21" s="1338"/>
      <c r="K21" s="1334"/>
      <c r="L21" s="1334"/>
      <c r="M21" s="1334"/>
      <c r="N21" s="1334"/>
      <c r="O21" s="1335"/>
      <c r="P21" s="1339">
        <f>+F30</f>
        <v>0.2533709999999999</v>
      </c>
      <c r="Q21" s="1294" t="str">
        <f>+C30</f>
        <v xml:space="preserve">   Tax Rate  (TCOS, ln 99)</v>
      </c>
      <c r="R21" s="1299"/>
      <c r="S21" s="1106"/>
    </row>
    <row r="22" spans="1:19">
      <c r="A22" s="1231"/>
      <c r="C22" s="1287"/>
      <c r="D22" s="1333"/>
      <c r="E22" s="1333"/>
      <c r="F22" s="1335"/>
      <c r="G22" s="1335"/>
      <c r="H22" s="1335"/>
      <c r="I22" s="1335"/>
      <c r="J22" s="1334"/>
      <c r="K22" s="1334"/>
      <c r="L22" s="1334"/>
      <c r="M22" s="1334"/>
      <c r="N22" s="1334"/>
      <c r="O22" s="1335"/>
      <c r="P22" s="1340">
        <f>+F33</f>
        <v>-435087.55511327944</v>
      </c>
      <c r="Q22" s="1294" t="str">
        <f>+C33</f>
        <v xml:space="preserve">   ITC Adjustment  (TCOS, ln 108)</v>
      </c>
      <c r="R22" s="1299"/>
      <c r="S22" s="1106"/>
    </row>
    <row r="23" spans="1:19">
      <c r="A23" s="1231">
        <f>+A19+1</f>
        <v>10</v>
      </c>
      <c r="C23" s="247" t="str">
        <f>"   Rate Base  (TCOS, ln "&amp;'PSO TCOS'!B113&amp;")"</f>
        <v xml:space="preserve">   Rate Base  (TCOS, ln 63)</v>
      </c>
      <c r="D23" s="1283"/>
      <c r="E23" s="1341">
        <f>+'PSO TCOS'!L113</f>
        <v>459255420.5005275</v>
      </c>
      <c r="F23" s="1342"/>
      <c r="G23" s="1342"/>
      <c r="H23" s="1335"/>
      <c r="I23" s="1335"/>
      <c r="J23" s="1334"/>
      <c r="K23" s="1334"/>
      <c r="L23" s="1334"/>
      <c r="M23" s="1334"/>
      <c r="N23" s="1334"/>
      <c r="O23" s="1335"/>
      <c r="P23" s="1340">
        <f>+F34</f>
        <v>-4933248.5076256059</v>
      </c>
      <c r="Q23" s="1294" t="str">
        <f>+C34</f>
        <v xml:space="preserve">   Excess DFIT Adjustment  (TCOS, ln 109)</v>
      </c>
      <c r="R23" s="1299"/>
      <c r="S23" s="1106"/>
    </row>
    <row r="24" spans="1:19">
      <c r="A24" s="1231">
        <f t="shared" si="0"/>
        <v>11</v>
      </c>
      <c r="C24" s="1287" t="s">
        <v>346</v>
      </c>
      <c r="D24" s="1285"/>
      <c r="E24" s="1343">
        <f>F19</f>
        <v>7.5162660538646606E-2</v>
      </c>
      <c r="F24" s="1335"/>
      <c r="G24" s="1335"/>
      <c r="H24" s="1335"/>
      <c r="I24" s="1335"/>
      <c r="J24" s="1334"/>
      <c r="K24" s="1334"/>
      <c r="L24" s="1334"/>
      <c r="M24" s="1334"/>
      <c r="N24" s="1334"/>
      <c r="O24" s="1335"/>
      <c r="P24" s="1340">
        <f>+F35</f>
        <v>78753.972856666413</v>
      </c>
      <c r="Q24" s="1294" t="str">
        <f>+C35</f>
        <v xml:space="preserve">   Tax Effect of Permanent and Flow Through Differences  (TCOS, ln 110)</v>
      </c>
      <c r="R24" s="1299"/>
      <c r="S24" s="1106"/>
    </row>
    <row r="25" spans="1:19" ht="15">
      <c r="A25" s="1231">
        <f t="shared" si="0"/>
        <v>12</v>
      </c>
      <c r="C25" s="1344" t="s">
        <v>378</v>
      </c>
      <c r="D25" s="1344"/>
      <c r="E25" s="1345">
        <f>E23*E24</f>
        <v>34518859.271614552</v>
      </c>
      <c r="F25" s="1335"/>
      <c r="G25" s="1335"/>
      <c r="H25" s="1335"/>
      <c r="I25" s="1335"/>
      <c r="J25" s="873"/>
      <c r="K25" s="873"/>
      <c r="L25" s="873"/>
      <c r="M25" s="873"/>
      <c r="N25" s="804"/>
      <c r="O25" s="1322"/>
      <c r="P25" s="1340">
        <f>+F42</f>
        <v>83018102.281065762</v>
      </c>
      <c r="Q25" s="1294" t="str">
        <f>+C42</f>
        <v xml:space="preserve">   Net Revenue Requirement  (TCOS, ln 117)</v>
      </c>
      <c r="R25" s="1299"/>
      <c r="S25" s="1106"/>
    </row>
    <row r="26" spans="1:19" ht="20.25">
      <c r="A26" s="1231"/>
      <c r="C26" s="1344"/>
      <c r="D26" s="1297"/>
      <c r="E26" s="1297"/>
      <c r="F26" s="1335"/>
      <c r="G26" s="1335"/>
      <c r="H26" s="1335"/>
      <c r="I26" s="1335"/>
      <c r="J26" s="1346" t="s">
        <v>129</v>
      </c>
      <c r="K26" s="1347" t="s">
        <v>440</v>
      </c>
      <c r="L26" s="1348"/>
      <c r="M26" s="1348"/>
      <c r="N26" s="1349"/>
      <c r="O26" s="1322"/>
      <c r="P26" s="1340">
        <f>+F43</f>
        <v>34518859.271614552</v>
      </c>
      <c r="Q26" s="1294" t="str">
        <f>+C43</f>
        <v xml:space="preserve">   Return  (TCOS, ln 112)</v>
      </c>
      <c r="R26" s="1299"/>
      <c r="S26" s="1106"/>
    </row>
    <row r="27" spans="1:19" ht="18">
      <c r="A27" s="1231"/>
      <c r="C27" s="1281" t="str">
        <f>"C.   Determine Income Taxes using Return with hypothetical "&amp;F12&amp;" basis point ROE increase for Identified Projects."</f>
        <v>C.   Determine Income Taxes using Return with hypothetical 0 basis point ROE increase for Identified Projects.</v>
      </c>
      <c r="D27" s="1350"/>
      <c r="E27" s="1350"/>
      <c r="F27" s="1351"/>
      <c r="G27" s="1351"/>
      <c r="H27" s="1351"/>
      <c r="I27" s="1351"/>
      <c r="J27" s="1322"/>
      <c r="K27" s="1352" t="s">
        <v>429</v>
      </c>
      <c r="L27" s="1353"/>
      <c r="M27" s="1353"/>
      <c r="N27" s="1349"/>
      <c r="O27" s="1354"/>
      <c r="P27" s="1340">
        <f>+F44</f>
        <v>2687949.8919944759</v>
      </c>
      <c r="Q27" s="1294" t="str">
        <f>+C44</f>
        <v xml:space="preserve">   Income Taxes  (TCOS, ln 111)</v>
      </c>
      <c r="R27" s="1299"/>
      <c r="S27" s="1106"/>
    </row>
    <row r="28" spans="1:19" ht="14.25" customHeight="1">
      <c r="A28" s="1231"/>
      <c r="C28" s="247"/>
      <c r="D28" s="1297"/>
      <c r="E28" s="1297"/>
      <c r="F28" s="1335"/>
      <c r="G28" s="1335"/>
      <c r="H28" s="1335"/>
      <c r="I28" s="1335"/>
      <c r="O28" s="1322"/>
      <c r="P28" s="1340">
        <f>+F45</f>
        <v>0</v>
      </c>
      <c r="Q28" s="1294" t="str">
        <f>C45</f>
        <v xml:space="preserve">  Gross Margin Taxes  (TCOS, ln 116)</v>
      </c>
      <c r="R28" s="1299"/>
      <c r="S28" s="1290"/>
    </row>
    <row r="29" spans="1:19" ht="19.5" customHeight="1">
      <c r="A29" s="1231">
        <f>+A25+1</f>
        <v>13</v>
      </c>
      <c r="C29" s="1287" t="s">
        <v>379</v>
      </c>
      <c r="D29" s="1326"/>
      <c r="F29" s="1355">
        <f>E25</f>
        <v>34518859.271614552</v>
      </c>
      <c r="G29" s="1335"/>
      <c r="H29" s="1335"/>
      <c r="I29" s="1335"/>
      <c r="O29" s="1335"/>
      <c r="P29" s="1340">
        <f>+F55</f>
        <v>18733043.911233526</v>
      </c>
      <c r="Q29" s="1294" t="str">
        <f>+C55</f>
        <v xml:space="preserve">   Less: Depreciation  (TCOS, ln 86)</v>
      </c>
      <c r="R29" s="1299"/>
      <c r="S29" s="1106"/>
    </row>
    <row r="30" spans="1:19">
      <c r="A30" s="1231">
        <f t="shared" si="0"/>
        <v>14</v>
      </c>
      <c r="C30" s="247" t="str">
        <f>"   Tax Rate  (TCOS, ln "&amp;'PSO TCOS'!B168&amp;")"</f>
        <v xml:space="preserve">   Tax Rate  (TCOS, ln 99)</v>
      </c>
      <c r="D30" s="1326"/>
      <c r="F30" s="1356">
        <f>+'PSO TCOS'!G168</f>
        <v>0.2533709999999999</v>
      </c>
      <c r="G30" s="1335"/>
      <c r="H30" s="1335"/>
      <c r="I30" s="1335"/>
      <c r="O30" s="1335"/>
      <c r="P30" s="1339">
        <f>+F61</f>
        <v>0</v>
      </c>
      <c r="Q30" s="1294" t="str">
        <f>+C61</f>
        <v xml:space="preserve">       Apportionment Factor to Texas (Worksheet K, ln 12)</v>
      </c>
      <c r="R30" s="1299"/>
      <c r="S30" s="1106"/>
    </row>
    <row r="31" spans="1:19">
      <c r="A31" s="1231">
        <f t="shared" si="0"/>
        <v>15</v>
      </c>
      <c r="C31" s="1287" t="s">
        <v>201</v>
      </c>
      <c r="F31" s="1295">
        <f>IF(F16&gt;0,($F30/(1-$F30))*(1-$F16/$F19),0)</f>
        <v>0.23110647774032195</v>
      </c>
      <c r="P31" s="1340">
        <f>+F71</f>
        <v>620656166.35159492</v>
      </c>
      <c r="Q31" s="1294" t="str">
        <f>+C71</f>
        <v xml:space="preserve">   Net Transmission Plant  (TCOS, ln 37)</v>
      </c>
      <c r="R31" s="1299"/>
      <c r="S31" s="1106"/>
    </row>
    <row r="32" spans="1:19">
      <c r="A32" s="1231">
        <f t="shared" si="0"/>
        <v>16</v>
      </c>
      <c r="C32" s="1344" t="s">
        <v>202</v>
      </c>
      <c r="F32" s="1357">
        <f>F29*F31</f>
        <v>7977531.9818766946</v>
      </c>
      <c r="P32" s="1358">
        <f>+F77</f>
        <v>0.10357596017730604</v>
      </c>
      <c r="Q32" s="1359" t="str">
        <f>+C77</f>
        <v xml:space="preserve">   FCR less Depreciation  (TCOS, ln 10)</v>
      </c>
      <c r="R32" s="1299"/>
      <c r="S32" s="1360"/>
    </row>
    <row r="33" spans="1:19" ht="15">
      <c r="A33" s="1231">
        <f t="shared" si="0"/>
        <v>17</v>
      </c>
      <c r="C33" s="247" t="str">
        <f>"   ITC Adjustment  (TCOS, ln "&amp;'PSO TCOS'!B178&amp;")"</f>
        <v xml:space="preserve">   ITC Adjustment  (TCOS, ln 108)</v>
      </c>
      <c r="D33" s="873"/>
      <c r="F33" s="1335">
        <f>+'PSO TCOS'!L178</f>
        <v>-435087.55511327944</v>
      </c>
      <c r="G33" s="873"/>
      <c r="H33" s="873"/>
      <c r="I33" s="873"/>
      <c r="O33" s="873"/>
      <c r="P33" s="1361">
        <f>+F81</f>
        <v>875615136.5</v>
      </c>
      <c r="Q33" s="1359" t="str">
        <f>+C81</f>
        <v>Transmission Plant Average Balance for 2018 (WS A-1 Ln 14 Col (d))</v>
      </c>
      <c r="R33" s="1299"/>
      <c r="S33" s="1290"/>
    </row>
    <row r="34" spans="1:19" ht="15">
      <c r="A34" s="1231">
        <f t="shared" si="0"/>
        <v>18</v>
      </c>
      <c r="C34" s="247" t="str">
        <f>"   Excess DFIT Adjustment  (TCOS, ln "&amp;'PSO TCOS'!B179&amp;")"</f>
        <v xml:space="preserve">   Excess DFIT Adjustment  (TCOS, ln 109)</v>
      </c>
      <c r="D34" s="873"/>
      <c r="F34" s="1335">
        <f>+'PSO TCOS'!L179</f>
        <v>-4933248.5076256059</v>
      </c>
      <c r="G34" s="873"/>
      <c r="H34" s="873"/>
      <c r="I34" s="873"/>
      <c r="O34" s="873"/>
      <c r="P34" s="1272">
        <f>+F82</f>
        <v>20436310</v>
      </c>
      <c r="Q34" s="1362" t="str">
        <f>+C82</f>
        <v>Annual Depreciation Expense  (TCOS, ln 86)</v>
      </c>
      <c r="R34" s="1299"/>
      <c r="S34" s="1290"/>
    </row>
    <row r="35" spans="1:19" ht="15">
      <c r="A35" s="1231">
        <f t="shared" si="0"/>
        <v>19</v>
      </c>
      <c r="C35" s="247" t="str">
        <f>"   Tax Effect of Permanent and Flow Through Differences  (TCOS, ln "&amp;'PSO TCOS'!B180&amp;")"</f>
        <v xml:space="preserve">   Tax Effect of Permanent and Flow Through Differences  (TCOS, ln 110)</v>
      </c>
      <c r="D35" s="873"/>
      <c r="F35" s="1335">
        <f>+'PSO TCOS'!L180</f>
        <v>78753.972856666413</v>
      </c>
      <c r="G35" s="873"/>
      <c r="H35" s="873"/>
      <c r="I35" s="873"/>
      <c r="O35" s="873"/>
      <c r="P35" s="1023"/>
      <c r="R35" s="1299"/>
      <c r="S35" s="1290"/>
    </row>
    <row r="36" spans="1:19" ht="15">
      <c r="A36" s="1231">
        <f t="shared" si="0"/>
        <v>20</v>
      </c>
      <c r="C36" s="1344" t="s">
        <v>380</v>
      </c>
      <c r="D36" s="873"/>
      <c r="F36" s="1363">
        <f>+SUM(F32:F35)</f>
        <v>2687949.8919944759</v>
      </c>
      <c r="G36" s="873"/>
      <c r="H36" s="873"/>
      <c r="I36" s="873"/>
      <c r="O36" s="873"/>
      <c r="P36" s="1023"/>
    </row>
    <row r="37" spans="1:19" ht="12.75" customHeight="1">
      <c r="A37" s="1231"/>
      <c r="C37" s="835"/>
      <c r="D37" s="873"/>
      <c r="E37" s="873"/>
      <c r="F37" s="873"/>
      <c r="G37" s="873"/>
      <c r="H37" s="873"/>
      <c r="I37" s="873"/>
      <c r="O37" s="873"/>
      <c r="P37" s="1077" t="s">
        <v>169</v>
      </c>
      <c r="Q37" s="1276" t="s">
        <v>438</v>
      </c>
    </row>
    <row r="38" spans="1:19" ht="18.75">
      <c r="A38" s="1231"/>
      <c r="B38" s="1279" t="s">
        <v>313</v>
      </c>
      <c r="C38" s="1277" t="str">
        <f>"Calculate Net Plant Carrying Charge Rate (Fixed Charge Rate or FCR) with hypothetical "&amp;F12&amp;" basis point"</f>
        <v>Calculate Net Plant Carrying Charge Rate (Fixed Charge Rate or FCR) with hypothetical 0 basis point</v>
      </c>
      <c r="D38" s="873"/>
      <c r="E38" s="873"/>
      <c r="F38" s="873"/>
      <c r="G38" s="873"/>
      <c r="H38" s="873"/>
      <c r="I38" s="873"/>
      <c r="O38" s="873"/>
      <c r="P38" s="1023"/>
    </row>
    <row r="39" spans="1:19" ht="18.75" customHeight="1">
      <c r="A39" s="1231"/>
      <c r="B39" s="1279"/>
      <c r="C39" s="1277" t="str">
        <f>"ROE increase."</f>
        <v>ROE increase.</v>
      </c>
      <c r="D39" s="873"/>
      <c r="E39" s="873"/>
      <c r="F39" s="873"/>
      <c r="G39" s="873"/>
      <c r="H39" s="873"/>
      <c r="I39" s="873"/>
      <c r="O39" s="873"/>
      <c r="P39" s="1023"/>
    </row>
    <row r="40" spans="1:19" ht="12.75" customHeight="1">
      <c r="A40" s="1231"/>
      <c r="C40" s="835"/>
      <c r="D40" s="873"/>
      <c r="E40" s="873"/>
      <c r="F40" s="873"/>
      <c r="G40" s="873"/>
      <c r="H40" s="873"/>
      <c r="I40" s="873"/>
      <c r="O40" s="873"/>
      <c r="P40" s="1276" t="s">
        <v>170</v>
      </c>
      <c r="Q40" s="1276" t="s">
        <v>438</v>
      </c>
    </row>
    <row r="41" spans="1:19" ht="15.75">
      <c r="A41" s="1231"/>
      <c r="C41" s="1281" t="s">
        <v>151</v>
      </c>
      <c r="D41" s="873"/>
      <c r="E41" s="873"/>
      <c r="F41" s="659"/>
      <c r="G41" s="659"/>
      <c r="H41" s="873"/>
      <c r="I41" s="873"/>
      <c r="O41" s="873"/>
      <c r="P41" s="1276"/>
      <c r="Q41" s="1077"/>
    </row>
    <row r="42" spans="1:19" ht="12.75" customHeight="1">
      <c r="A42" s="1231">
        <f>+A36+1</f>
        <v>21</v>
      </c>
      <c r="C42" s="247" t="str">
        <f>"   Net Revenue Requirement  (TCOS, ln "&amp;'PSO TCOS'!B193&amp;")"</f>
        <v xml:space="preserve">   Net Revenue Requirement  (TCOS, ln 117)</v>
      </c>
      <c r="D42" s="1364"/>
      <c r="E42" s="1364"/>
      <c r="F42" s="1335">
        <f>+'PSO TCOS'!L193</f>
        <v>83018102.281065762</v>
      </c>
      <c r="G42" s="1335"/>
      <c r="H42" s="1364"/>
      <c r="I42" s="1364"/>
      <c r="J42" s="1364"/>
      <c r="K42" s="1364"/>
      <c r="L42" s="1364"/>
      <c r="M42" s="1364"/>
      <c r="N42" s="1335"/>
      <c r="O42" s="1364"/>
      <c r="P42" s="1365" t="s">
        <v>166</v>
      </c>
      <c r="Q42" s="1366" t="s">
        <v>167</v>
      </c>
    </row>
    <row r="43" spans="1:19" ht="13.5" thickBot="1">
      <c r="A43" s="1231">
        <f t="shared" si="0"/>
        <v>22</v>
      </c>
      <c r="C43" s="247" t="str">
        <f>"   Return  (TCOS, ln "&amp;'PSO TCOS'!B184&amp;")"</f>
        <v xml:space="preserve">   Return  (TCOS, ln 112)</v>
      </c>
      <c r="D43" s="1364"/>
      <c r="E43" s="1364"/>
      <c r="F43" s="1322">
        <f>+'PSO TCOS'!L184</f>
        <v>34518859.271614552</v>
      </c>
      <c r="G43" s="1322"/>
      <c r="H43" s="1367"/>
      <c r="I43" s="1367"/>
      <c r="J43" s="1367"/>
      <c r="K43" s="1367"/>
      <c r="L43" s="1367"/>
      <c r="M43" s="1367"/>
      <c r="N43" s="1335"/>
      <c r="O43" s="1367"/>
      <c r="P43" s="1368" t="s">
        <v>69</v>
      </c>
      <c r="Q43" s="1369"/>
    </row>
    <row r="44" spans="1:19">
      <c r="A44" s="1231">
        <f t="shared" si="0"/>
        <v>23</v>
      </c>
      <c r="C44" s="247" t="str">
        <f>"   Income Taxes  (TCOS, ln "&amp;'PSO TCOS'!B182&amp;")"</f>
        <v xml:space="preserve">   Income Taxes  (TCOS, ln 111)</v>
      </c>
      <c r="D44" s="1364"/>
      <c r="E44" s="1364"/>
      <c r="F44" s="1335">
        <f>+'PSO TCOS'!L182</f>
        <v>2687949.8919944759</v>
      </c>
      <c r="G44" s="1335"/>
      <c r="H44" s="1364"/>
      <c r="I44" s="1364"/>
      <c r="J44" s="1370"/>
      <c r="K44" s="1370"/>
      <c r="L44" s="1370"/>
      <c r="M44" s="1370"/>
      <c r="N44" s="1364"/>
      <c r="O44" s="1370"/>
      <c r="P44" s="1371"/>
      <c r="Q44" s="1369" t="s">
        <v>163</v>
      </c>
    </row>
    <row r="45" spans="1:19">
      <c r="A45" s="1231">
        <f t="shared" si="0"/>
        <v>24</v>
      </c>
      <c r="C45" s="247" t="str">
        <f>"  Gross Margin Taxes  (TCOS, ln "&amp;'PSO TCOS'!B191&amp;")"</f>
        <v xml:space="preserve">  Gross Margin Taxes  (TCOS, ln 116)</v>
      </c>
      <c r="D45" s="1364"/>
      <c r="E45" s="1364"/>
      <c r="F45" s="1372">
        <f>+'PSO TCOS'!L191</f>
        <v>0</v>
      </c>
      <c r="G45" s="1335"/>
      <c r="H45" s="1364"/>
      <c r="I45" s="1364"/>
      <c r="J45" s="1370"/>
      <c r="K45" s="1370"/>
      <c r="L45" s="1370"/>
      <c r="M45" s="1370"/>
      <c r="N45" s="1364"/>
      <c r="O45" s="1370"/>
      <c r="P45" s="1373"/>
      <c r="Q45" s="1369" t="s">
        <v>164</v>
      </c>
    </row>
    <row r="46" spans="1:19" ht="13.5" thickBot="1">
      <c r="A46" s="1231">
        <f t="shared" si="0"/>
        <v>25</v>
      </c>
      <c r="C46" s="1106" t="s">
        <v>23</v>
      </c>
      <c r="D46" s="1364"/>
      <c r="E46" s="1364"/>
      <c r="F46" s="1322">
        <f>F42-F43-F44-F45</f>
        <v>45811293.117456734</v>
      </c>
      <c r="G46" s="1322"/>
      <c r="H46" s="1320"/>
      <c r="I46" s="1364"/>
      <c r="J46" s="1320"/>
      <c r="K46" s="1320"/>
      <c r="L46" s="1320"/>
      <c r="M46" s="1320"/>
      <c r="N46" s="1320"/>
      <c r="O46" s="1320"/>
      <c r="P46" s="1374"/>
      <c r="Q46" s="1369" t="s">
        <v>165</v>
      </c>
    </row>
    <row r="47" spans="1:19" s="1106" customFormat="1">
      <c r="A47" s="1231"/>
      <c r="B47" s="1023"/>
      <c r="C47" s="247"/>
      <c r="D47" s="1364"/>
      <c r="E47" s="1364"/>
      <c r="F47" s="1335"/>
      <c r="G47" s="1335"/>
      <c r="H47" s="1375"/>
      <c r="I47" s="1376"/>
      <c r="J47" s="1376"/>
      <c r="K47" s="1376"/>
      <c r="L47" s="1376"/>
      <c r="M47" s="1376"/>
      <c r="N47" s="1376"/>
      <c r="O47" s="1376"/>
      <c r="Q47" s="1023"/>
      <c r="R47" s="1023"/>
      <c r="S47" s="1023"/>
    </row>
    <row r="48" spans="1:19" s="1106" customFormat="1" ht="15.75">
      <c r="A48" s="1231"/>
      <c r="B48" s="1023"/>
      <c r="C48" s="1281" t="str">
        <f>"B.   Determine Net Revenue Requirement with hypothetical "&amp;F12&amp;" basis point increase in ROE."</f>
        <v>B.   Determine Net Revenue Requirement with hypothetical 0 basis point increase in ROE.</v>
      </c>
      <c r="D48" s="1287"/>
      <c r="E48" s="1287"/>
      <c r="F48" s="1335"/>
      <c r="G48" s="1335"/>
      <c r="H48" s="1375"/>
      <c r="I48" s="1376"/>
      <c r="J48" s="1376"/>
      <c r="K48" s="1376"/>
      <c r="L48" s="1376"/>
      <c r="M48" s="1376"/>
      <c r="N48" s="1376"/>
      <c r="O48" s="1376"/>
      <c r="R48" s="1023"/>
      <c r="S48" s="1023"/>
    </row>
    <row r="49" spans="1:19" s="1106" customFormat="1">
      <c r="A49" s="1231">
        <f>+A46+1</f>
        <v>26</v>
      </c>
      <c r="B49" s="1023"/>
      <c r="C49" s="247" t="str">
        <f>C46</f>
        <v xml:space="preserve">   Net Revenue Requirement, Less Return and Taxes</v>
      </c>
      <c r="D49" s="1287"/>
      <c r="E49" s="1287"/>
      <c r="F49" s="1335">
        <f>F46</f>
        <v>45811293.117456734</v>
      </c>
      <c r="G49" s="1335"/>
      <c r="H49" s="1364"/>
      <c r="I49" s="1364"/>
      <c r="J49" s="1364"/>
      <c r="K49" s="1364"/>
      <c r="L49" s="1364"/>
      <c r="M49" s="1364"/>
      <c r="N49" s="1377"/>
      <c r="O49" s="1364"/>
      <c r="R49" s="1023"/>
      <c r="S49" s="1023"/>
    </row>
    <row r="50" spans="1:19" s="1106" customFormat="1">
      <c r="A50" s="1231">
        <f t="shared" si="0"/>
        <v>27</v>
      </c>
      <c r="B50" s="1023"/>
      <c r="C50" s="1287" t="s">
        <v>388</v>
      </c>
      <c r="D50" s="1378"/>
      <c r="F50" s="1379">
        <f>E25</f>
        <v>34518859.271614552</v>
      </c>
      <c r="G50" s="1379"/>
      <c r="I50" s="1107"/>
      <c r="Q50" s="1023"/>
      <c r="R50" s="1023"/>
      <c r="S50" s="1023"/>
    </row>
    <row r="51" spans="1:19" s="1106" customFormat="1" ht="12.75" customHeight="1">
      <c r="A51" s="1231">
        <f t="shared" si="0"/>
        <v>28</v>
      </c>
      <c r="B51" s="1023"/>
      <c r="C51" s="247" t="s">
        <v>381</v>
      </c>
      <c r="D51" s="1364"/>
      <c r="E51" s="1364"/>
      <c r="F51" s="1380">
        <f>F36</f>
        <v>2687949.8919944759</v>
      </c>
      <c r="G51" s="1381"/>
      <c r="H51" s="1023"/>
      <c r="I51" s="1052"/>
      <c r="J51" s="1023"/>
      <c r="K51" s="1023"/>
      <c r="L51" s="1023"/>
      <c r="M51" s="1023"/>
      <c r="N51" s="1023"/>
      <c r="Q51" s="1023"/>
      <c r="R51" s="1023"/>
      <c r="S51" s="1023"/>
    </row>
    <row r="52" spans="1:19" s="1106" customFormat="1">
      <c r="A52" s="1231">
        <f t="shared" si="0"/>
        <v>29</v>
      </c>
      <c r="B52" s="1023"/>
      <c r="C52" s="1106" t="str">
        <f>"   Net Revenue Requirement, with "&amp;F12&amp;" Basis Point ROE increase"</f>
        <v xml:space="preserve">   Net Revenue Requirement, with 0 Basis Point ROE increase</v>
      </c>
      <c r="D52" s="1231"/>
      <c r="E52" s="1023"/>
      <c r="F52" s="1357">
        <f>SUM(F49:F51)</f>
        <v>83018102.281065762</v>
      </c>
      <c r="G52" s="1357"/>
      <c r="H52" s="1023"/>
      <c r="I52" s="1052"/>
      <c r="J52" s="1023"/>
      <c r="K52" s="1023"/>
      <c r="L52" s="1023"/>
      <c r="M52" s="1023"/>
      <c r="N52" s="1023"/>
      <c r="Q52" s="1023"/>
      <c r="R52" s="1023"/>
      <c r="S52" s="1023"/>
    </row>
    <row r="53" spans="1:19" s="1106" customFormat="1">
      <c r="A53" s="1231">
        <f t="shared" si="0"/>
        <v>30</v>
      </c>
      <c r="B53" s="1023"/>
      <c r="C53" s="1360" t="str">
        <f>"   Gross Margin Tax with "&amp;F86&amp;" Basis Point ROE Increase (II C. below)"</f>
        <v xml:space="preserve">   Gross Margin Tax with  Basis Point ROE Increase (II C. below)</v>
      </c>
      <c r="D53" s="1198"/>
      <c r="E53" s="1198"/>
      <c r="F53" s="1382">
        <f>+F68</f>
        <v>0</v>
      </c>
      <c r="G53" s="1379"/>
      <c r="H53" s="1023"/>
      <c r="I53" s="1052"/>
      <c r="J53" s="1023"/>
      <c r="K53" s="1023"/>
      <c r="L53" s="1023"/>
      <c r="M53" s="1023"/>
      <c r="N53" s="1023"/>
      <c r="Q53" s="1023"/>
      <c r="R53" s="1023"/>
      <c r="S53" s="1023"/>
    </row>
    <row r="54" spans="1:19" s="1106" customFormat="1">
      <c r="A54" s="1231">
        <f t="shared" si="0"/>
        <v>31</v>
      </c>
      <c r="B54" s="1023"/>
      <c r="C54" s="1106" t="s">
        <v>24</v>
      </c>
      <c r="D54" s="1231"/>
      <c r="E54" s="1023"/>
      <c r="F54" s="1379">
        <f>+F52+F53</f>
        <v>83018102.281065762</v>
      </c>
      <c r="G54" s="1379"/>
      <c r="H54" s="1023"/>
      <c r="I54" s="1052"/>
      <c r="J54" s="1023"/>
      <c r="K54" s="1023"/>
      <c r="L54" s="1023"/>
      <c r="M54" s="1023"/>
      <c r="N54" s="1023"/>
      <c r="Q54" s="1023"/>
      <c r="R54" s="1023"/>
      <c r="S54" s="1023"/>
    </row>
    <row r="55" spans="1:19" s="1106" customFormat="1">
      <c r="A55" s="1231">
        <f t="shared" si="0"/>
        <v>32</v>
      </c>
      <c r="B55" s="1023"/>
      <c r="C55" s="247" t="str">
        <f>"   Less: Depreciation  (TCOS, ln "&amp;'PSO TCOS'!B153&amp;")"</f>
        <v xml:space="preserve">   Less: Depreciation  (TCOS, ln 86)</v>
      </c>
      <c r="D55" s="1231"/>
      <c r="E55" s="1023"/>
      <c r="F55" s="1383">
        <f>+'PSO TCOS'!L153</f>
        <v>18733043.911233526</v>
      </c>
      <c r="G55" s="1383"/>
      <c r="H55" s="1023"/>
      <c r="I55" s="1052"/>
      <c r="J55" s="1023"/>
      <c r="K55" s="1023"/>
      <c r="L55" s="1023"/>
      <c r="M55" s="1023"/>
      <c r="N55" s="1023"/>
      <c r="Q55" s="1023"/>
      <c r="R55" s="1023"/>
      <c r="S55" s="1023"/>
    </row>
    <row r="56" spans="1:19" s="1106" customFormat="1">
      <c r="A56" s="1231">
        <f t="shared" si="0"/>
        <v>33</v>
      </c>
      <c r="B56" s="1023"/>
      <c r="C56" s="1106" t="str">
        <f>"   Net Rev. Req, w/"&amp;F12&amp;" Basis Point ROE increase, less Depreciation"</f>
        <v xml:space="preserve">   Net Rev. Req, w/0 Basis Point ROE increase, less Depreciation</v>
      </c>
      <c r="D56" s="1231"/>
      <c r="E56" s="1023"/>
      <c r="F56" s="1357">
        <f>F54-F55</f>
        <v>64285058.369832233</v>
      </c>
      <c r="G56" s="1357"/>
      <c r="H56" s="1023"/>
      <c r="I56" s="1052"/>
      <c r="J56" s="1023"/>
      <c r="K56" s="1023"/>
      <c r="L56" s="1023"/>
      <c r="M56" s="1023"/>
      <c r="N56" s="1023"/>
      <c r="Q56" s="1023"/>
      <c r="R56" s="1023"/>
      <c r="S56" s="1023"/>
    </row>
    <row r="57" spans="1:19" s="1106" customFormat="1">
      <c r="A57" s="1231"/>
      <c r="B57" s="1023"/>
      <c r="C57" s="1023"/>
      <c r="D57" s="1231"/>
      <c r="E57" s="1023"/>
      <c r="F57" s="1023"/>
      <c r="G57" s="1023"/>
      <c r="H57" s="1023"/>
      <c r="I57" s="1052"/>
      <c r="J57" s="1023"/>
      <c r="K57" s="1023"/>
      <c r="L57" s="1023"/>
      <c r="M57" s="1023"/>
      <c r="N57" s="1023"/>
      <c r="Q57" s="1023"/>
      <c r="R57" s="1023"/>
      <c r="S57" s="1023"/>
    </row>
    <row r="58" spans="1:19" s="1106" customFormat="1" ht="15.75">
      <c r="A58" s="1231"/>
      <c r="B58" s="1023"/>
      <c r="C58" s="1281" t="str">
        <f>"C.   Determine Gross Margin Tax with hypothetical "&amp;F12&amp;" basis point increase in ROE."</f>
        <v>C.   Determine Gross Margin Tax with hypothetical 0 basis point increase in ROE.</v>
      </c>
      <c r="D58" s="1198"/>
      <c r="E58" s="1198"/>
      <c r="F58" s="1357"/>
      <c r="G58" s="1357"/>
      <c r="H58" s="1023"/>
      <c r="I58" s="1052"/>
      <c r="J58" s="1023"/>
      <c r="K58" s="1023"/>
      <c r="L58" s="1023"/>
      <c r="M58" s="1023"/>
      <c r="N58" s="1023"/>
      <c r="Q58" s="1023"/>
      <c r="R58" s="1023"/>
      <c r="S58" s="1023"/>
    </row>
    <row r="59" spans="1:19" s="1106" customFormat="1">
      <c r="A59" s="1231">
        <f>+A56+1</f>
        <v>34</v>
      </c>
      <c r="B59" s="1023"/>
      <c r="C59" s="1360" t="str">
        <f>"   Net Revenue Requirement before Gross Margin Taxes, with "&amp;F12&amp;" "</f>
        <v xml:space="preserve">   Net Revenue Requirement before Gross Margin Taxes, with 0 </v>
      </c>
      <c r="D59" s="1198"/>
      <c r="E59" s="1198"/>
      <c r="F59" s="1357">
        <f>+F52</f>
        <v>83018102.281065762</v>
      </c>
      <c r="G59" s="1357"/>
      <c r="H59" s="1023"/>
      <c r="I59" s="1052"/>
      <c r="J59" s="1023"/>
      <c r="K59" s="1023"/>
      <c r="L59" s="1023"/>
      <c r="M59" s="1023"/>
      <c r="N59" s="1023"/>
      <c r="Q59" s="1023"/>
      <c r="R59" s="1023"/>
      <c r="S59" s="1023"/>
    </row>
    <row r="60" spans="1:19" s="1106" customFormat="1">
      <c r="A60" s="1231">
        <f t="shared" si="0"/>
        <v>35</v>
      </c>
      <c r="B60" s="1023"/>
      <c r="C60" s="1360" t="s">
        <v>25</v>
      </c>
      <c r="D60" s="1198"/>
      <c r="E60" s="1198"/>
      <c r="F60" s="1357"/>
      <c r="G60" s="1357"/>
      <c r="H60" s="1023"/>
      <c r="I60" s="1052"/>
      <c r="J60" s="1023"/>
      <c r="K60" s="1023"/>
      <c r="L60" s="1023"/>
      <c r="M60" s="1023"/>
      <c r="N60" s="1023"/>
      <c r="Q60" s="1023"/>
      <c r="R60" s="1023"/>
      <c r="S60" s="1023"/>
    </row>
    <row r="61" spans="1:19" s="1106" customFormat="1">
      <c r="A61" s="1231">
        <f t="shared" si="0"/>
        <v>36</v>
      </c>
      <c r="B61" s="1023"/>
      <c r="C61" s="1106" t="str">
        <f>"       Apportionment Factor to Texas (Worksheet K, ln "&amp;'PSO WS K State Taxes'!A53&amp;")"</f>
        <v xml:space="preserve">       Apportionment Factor to Texas (Worksheet K, ln 12)</v>
      </c>
      <c r="D61" s="1231"/>
      <c r="E61" s="1023"/>
      <c r="F61" s="1384">
        <f>+'PSO WS K State Taxes'!E53</f>
        <v>0</v>
      </c>
      <c r="G61" s="1356"/>
      <c r="H61" s="1023"/>
      <c r="I61" s="1052"/>
      <c r="J61" s="1023"/>
      <c r="K61" s="1023"/>
      <c r="L61" s="1023"/>
      <c r="M61" s="1023"/>
      <c r="N61" s="1023"/>
      <c r="Q61" s="1023"/>
      <c r="R61" s="1023"/>
      <c r="S61" s="1023"/>
    </row>
    <row r="62" spans="1:19" s="1052" customFormat="1">
      <c r="A62" s="1231">
        <f t="shared" si="0"/>
        <v>37</v>
      </c>
      <c r="B62" s="1023"/>
      <c r="C62" s="1106" t="s">
        <v>26</v>
      </c>
      <c r="D62" s="1231"/>
      <c r="E62" s="1023"/>
      <c r="F62" s="1357">
        <f>+F61*F59</f>
        <v>0</v>
      </c>
      <c r="G62" s="1357"/>
      <c r="H62" s="1023"/>
      <c r="J62" s="1023"/>
      <c r="K62" s="1023"/>
      <c r="L62" s="1023"/>
      <c r="M62" s="1023"/>
      <c r="N62" s="1023"/>
      <c r="O62" s="1106"/>
      <c r="P62" s="1106"/>
      <c r="Q62" s="1023"/>
      <c r="R62" s="1023"/>
      <c r="S62" s="1023"/>
    </row>
    <row r="63" spans="1:19" s="1052" customFormat="1">
      <c r="A63" s="1231">
        <f t="shared" si="0"/>
        <v>38</v>
      </c>
      <c r="B63" s="1023"/>
      <c r="C63" s="1106" t="s">
        <v>1087</v>
      </c>
      <c r="D63" s="1231"/>
      <c r="E63" s="1023"/>
      <c r="F63" s="1385">
        <v>0.22</v>
      </c>
      <c r="G63" s="1386"/>
      <c r="H63" s="1023"/>
      <c r="J63" s="1023"/>
      <c r="K63" s="1023"/>
      <c r="L63" s="1023"/>
      <c r="M63" s="1023"/>
      <c r="N63" s="1023"/>
      <c r="O63" s="1106"/>
      <c r="P63" s="1106"/>
      <c r="Q63" s="1023"/>
      <c r="R63" s="1023"/>
      <c r="S63" s="1023"/>
    </row>
    <row r="64" spans="1:19" s="1052" customFormat="1">
      <c r="A64" s="1231">
        <f t="shared" si="0"/>
        <v>39</v>
      </c>
      <c r="B64" s="1023"/>
      <c r="C64" s="1106" t="s">
        <v>27</v>
      </c>
      <c r="D64" s="1231"/>
      <c r="E64" s="1023"/>
      <c r="F64" s="1357">
        <f>+F62*F63</f>
        <v>0</v>
      </c>
      <c r="G64" s="1357"/>
      <c r="H64" s="1023"/>
      <c r="J64" s="1023"/>
      <c r="K64" s="1023"/>
      <c r="L64" s="1023"/>
      <c r="M64" s="1023"/>
      <c r="N64" s="1023"/>
      <c r="O64" s="1106"/>
      <c r="P64" s="1106"/>
      <c r="Q64" s="1023"/>
      <c r="R64" s="1023"/>
      <c r="S64" s="1023"/>
    </row>
    <row r="65" spans="1:19" s="1052" customFormat="1">
      <c r="A65" s="1231">
        <f t="shared" si="0"/>
        <v>40</v>
      </c>
      <c r="B65" s="1023"/>
      <c r="C65" s="1106" t="s">
        <v>28</v>
      </c>
      <c r="D65" s="1231"/>
      <c r="E65" s="1023"/>
      <c r="F65" s="1385">
        <v>0.01</v>
      </c>
      <c r="G65" s="1386"/>
      <c r="H65" s="1023"/>
      <c r="J65" s="1023"/>
      <c r="K65" s="1023"/>
      <c r="L65" s="1023"/>
      <c r="M65" s="1023"/>
      <c r="N65" s="1023"/>
      <c r="O65" s="1106"/>
      <c r="P65" s="1106"/>
      <c r="Q65" s="1023"/>
      <c r="R65" s="1023"/>
      <c r="S65" s="1023"/>
    </row>
    <row r="66" spans="1:19" s="1052" customFormat="1">
      <c r="A66" s="1231">
        <f t="shared" si="0"/>
        <v>41</v>
      </c>
      <c r="B66" s="1023"/>
      <c r="C66" s="1106" t="s">
        <v>29</v>
      </c>
      <c r="D66" s="1231"/>
      <c r="E66" s="1023"/>
      <c r="F66" s="1357">
        <f>+F64*F65</f>
        <v>0</v>
      </c>
      <c r="G66" s="1357"/>
      <c r="H66" s="1023"/>
      <c r="J66" s="1023"/>
      <c r="K66" s="1023"/>
      <c r="L66" s="1023"/>
      <c r="M66" s="1023"/>
      <c r="N66" s="1023"/>
      <c r="O66" s="1106"/>
      <c r="P66" s="1106"/>
      <c r="Q66" s="1023"/>
      <c r="R66" s="1023"/>
      <c r="S66" s="1023"/>
    </row>
    <row r="67" spans="1:19" s="1052" customFormat="1">
      <c r="A67" s="1231">
        <f t="shared" si="0"/>
        <v>42</v>
      </c>
      <c r="B67" s="1023"/>
      <c r="C67" s="1106" t="s">
        <v>30</v>
      </c>
      <c r="D67" s="1231"/>
      <c r="E67" s="1023"/>
      <c r="F67" s="1387">
        <f>+ROUND((F66*F63*F61)/(1-F65)*F65,0)</f>
        <v>0</v>
      </c>
      <c r="G67" s="1222"/>
      <c r="H67" s="1023"/>
      <c r="J67" s="1023"/>
      <c r="K67" s="1023"/>
      <c r="L67" s="1023"/>
      <c r="M67" s="1023"/>
      <c r="N67" s="1023"/>
      <c r="O67" s="1106"/>
      <c r="P67" s="1106"/>
      <c r="Q67" s="1023"/>
      <c r="R67" s="1023"/>
      <c r="S67" s="1023"/>
    </row>
    <row r="68" spans="1:19" s="1052" customFormat="1">
      <c r="A68" s="1231">
        <f t="shared" si="0"/>
        <v>43</v>
      </c>
      <c r="B68" s="1023"/>
      <c r="C68" s="1106" t="s">
        <v>31</v>
      </c>
      <c r="D68" s="1231"/>
      <c r="E68" s="1023"/>
      <c r="F68" s="1357">
        <f>+F66+F67</f>
        <v>0</v>
      </c>
      <c r="G68" s="1357"/>
      <c r="H68" s="1023"/>
      <c r="J68" s="1023"/>
      <c r="K68" s="1023"/>
      <c r="L68" s="1023"/>
      <c r="M68" s="1023"/>
      <c r="N68" s="1023"/>
      <c r="O68" s="1106"/>
      <c r="P68" s="1106"/>
      <c r="Q68" s="1023"/>
      <c r="R68" s="1023"/>
      <c r="S68" s="1023"/>
    </row>
    <row r="69" spans="1:19" s="1052" customFormat="1">
      <c r="A69" s="1231"/>
      <c r="B69" s="1023"/>
      <c r="C69" s="1023"/>
      <c r="D69" s="1231"/>
      <c r="E69" s="1023"/>
      <c r="F69" s="1023"/>
      <c r="G69" s="1023"/>
      <c r="H69" s="1023"/>
      <c r="J69" s="1023"/>
      <c r="K69" s="1023"/>
      <c r="L69" s="1023"/>
      <c r="M69" s="1023"/>
      <c r="N69" s="1023"/>
      <c r="O69" s="1106"/>
      <c r="P69" s="1106"/>
      <c r="Q69" s="1023"/>
      <c r="R69" s="1023"/>
      <c r="S69" s="1023"/>
    </row>
    <row r="70" spans="1:19" s="1052" customFormat="1" ht="15.75">
      <c r="A70" s="1231"/>
      <c r="B70" s="1023"/>
      <c r="C70" s="1281" t="str">
        <f>"D.   Determine FCR with hypothetical "&amp;F12&amp;" basis point ROE increase."</f>
        <v>D.   Determine FCR with hypothetical 0 basis point ROE increase.</v>
      </c>
      <c r="D70" s="1231"/>
      <c r="E70" s="1023"/>
      <c r="F70" s="1023"/>
      <c r="G70" s="1023"/>
      <c r="H70" s="1023"/>
      <c r="J70" s="1023"/>
      <c r="K70" s="1023"/>
      <c r="L70" s="1023"/>
      <c r="M70" s="1023"/>
      <c r="N70" s="1023"/>
      <c r="O70" s="1106"/>
      <c r="P70" s="1106"/>
      <c r="Q70" s="1023"/>
      <c r="R70" s="1023"/>
      <c r="S70" s="1023"/>
    </row>
    <row r="71" spans="1:19" s="1052" customFormat="1">
      <c r="A71" s="1231">
        <f>+A68+1</f>
        <v>44</v>
      </c>
      <c r="B71" s="1023"/>
      <c r="C71" s="247" t="str">
        <f>"   Net Transmission Plant  (TCOS, ln "&amp;'PSO TCOS'!B79&amp;")"</f>
        <v xml:space="preserve">   Net Transmission Plant  (TCOS, ln 37)</v>
      </c>
      <c r="D71" s="1231"/>
      <c r="E71" s="1023"/>
      <c r="F71" s="1357">
        <f>+'PSO TCOS'!L79</f>
        <v>620656166.35159492</v>
      </c>
      <c r="G71" s="1357"/>
      <c r="H71" s="1023"/>
      <c r="J71" s="1023"/>
      <c r="K71" s="1023"/>
      <c r="L71" s="1023"/>
      <c r="M71" s="1023"/>
      <c r="N71" s="1023"/>
      <c r="O71" s="1106"/>
      <c r="P71" s="1106"/>
      <c r="Q71" s="1023"/>
      <c r="R71" s="1023"/>
      <c r="S71" s="1023"/>
    </row>
    <row r="72" spans="1:19" s="1052" customFormat="1" ht="15">
      <c r="A72" s="1231">
        <f t="shared" si="0"/>
        <v>45</v>
      </c>
      <c r="B72" s="1023"/>
      <c r="C72" s="1106" t="str">
        <f>"   Net Revenue Requirement, with "&amp;F12&amp;" Basis Point ROE increase"</f>
        <v xml:space="preserve">   Net Revenue Requirement, with 0 Basis Point ROE increase</v>
      </c>
      <c r="D72" s="1231"/>
      <c r="E72" s="1023"/>
      <c r="F72" s="1388">
        <f>+F54</f>
        <v>83018102.281065762</v>
      </c>
      <c r="G72" s="1388"/>
      <c r="H72" s="1023"/>
      <c r="J72" s="1023"/>
      <c r="K72" s="1023"/>
      <c r="L72" s="1023"/>
      <c r="M72" s="1023"/>
      <c r="N72" s="1023"/>
      <c r="O72" s="1106"/>
      <c r="P72" s="1106"/>
      <c r="Q72" s="1023"/>
      <c r="R72" s="1023"/>
      <c r="S72" s="1023"/>
    </row>
    <row r="73" spans="1:19" s="1052" customFormat="1">
      <c r="A73" s="1231">
        <f t="shared" si="0"/>
        <v>46</v>
      </c>
      <c r="B73" s="1023"/>
      <c r="C73" s="1106" t="str">
        <f>"   FCR with "&amp;F12&amp;" Basis Point increase in ROE"</f>
        <v xml:space="preserve">   FCR with 0 Basis Point increase in ROE</v>
      </c>
      <c r="D73" s="1231"/>
      <c r="E73" s="1023"/>
      <c r="F73" s="1298">
        <f>IF(F71=0,0,F72/F71)</f>
        <v>0.13375860384836152</v>
      </c>
      <c r="G73" s="1298"/>
      <c r="H73" s="1023"/>
      <c r="J73" s="1023"/>
      <c r="K73" s="1023"/>
      <c r="L73" s="1023"/>
      <c r="M73" s="1023"/>
      <c r="N73" s="1023"/>
      <c r="O73" s="1106"/>
      <c r="P73" s="1106"/>
      <c r="Q73" s="1023"/>
      <c r="R73" s="1023"/>
      <c r="S73" s="1023"/>
    </row>
    <row r="74" spans="1:19" s="1052" customFormat="1">
      <c r="A74" s="1231"/>
      <c r="B74" s="1023"/>
      <c r="C74" s="1023"/>
      <c r="D74" s="1231"/>
      <c r="E74" s="1023"/>
      <c r="F74" s="1023"/>
      <c r="G74" s="1023"/>
      <c r="H74" s="1298"/>
      <c r="J74" s="1023"/>
      <c r="K74" s="1023"/>
      <c r="L74" s="1023"/>
      <c r="M74" s="1023"/>
      <c r="N74" s="1023"/>
      <c r="O74" s="1106"/>
      <c r="P74" s="1106"/>
      <c r="Q74" s="1023"/>
      <c r="R74" s="1023"/>
      <c r="S74" s="1023"/>
    </row>
    <row r="75" spans="1:19" s="1052" customFormat="1">
      <c r="A75" s="1231">
        <f>+A73+1</f>
        <v>47</v>
      </c>
      <c r="B75" s="1023"/>
      <c r="C75" s="1106" t="str">
        <f>"   Net Rev. Req, w / "&amp;F12&amp;" Basis Point ROE increase, less Dep."</f>
        <v xml:space="preserve">   Net Rev. Req, w / 0 Basis Point ROE increase, less Dep.</v>
      </c>
      <c r="D75" s="1231"/>
      <c r="E75" s="1023"/>
      <c r="F75" s="1357">
        <f>+F56</f>
        <v>64285058.369832233</v>
      </c>
      <c r="G75" s="1357"/>
      <c r="H75" s="1023"/>
      <c r="J75" s="1023"/>
      <c r="K75" s="1023"/>
      <c r="L75" s="1023"/>
      <c r="M75" s="1023"/>
      <c r="N75" s="1023"/>
      <c r="O75" s="1106"/>
      <c r="P75" s="1106"/>
      <c r="Q75" s="1023"/>
      <c r="R75" s="1023"/>
      <c r="S75" s="1023"/>
    </row>
    <row r="76" spans="1:19" s="1052" customFormat="1">
      <c r="A76" s="1231">
        <f t="shared" ref="A76:A85" si="1">+A75+1</f>
        <v>48</v>
      </c>
      <c r="B76" s="1023"/>
      <c r="C76" s="1106" t="str">
        <f>"   FCR with "&amp;F12&amp;" Basis Point ROE increase, less Depreciation"</f>
        <v xml:space="preserve">   FCR with 0 Basis Point ROE increase, less Depreciation</v>
      </c>
      <c r="D76" s="1231"/>
      <c r="E76" s="1023"/>
      <c r="F76" s="1298">
        <f>IF(F71=0,0,F75/F71)</f>
        <v>0.10357596017730604</v>
      </c>
      <c r="G76" s="1298"/>
      <c r="H76" s="1357"/>
      <c r="J76" s="1023"/>
      <c r="K76" s="1023"/>
      <c r="L76" s="1023"/>
      <c r="M76" s="1023"/>
      <c r="N76" s="1023"/>
      <c r="O76" s="1106"/>
      <c r="P76" s="1106"/>
      <c r="Q76" s="1023"/>
      <c r="R76" s="1023"/>
      <c r="S76" s="1023"/>
    </row>
    <row r="77" spans="1:19">
      <c r="A77" s="1231">
        <f t="shared" si="1"/>
        <v>49</v>
      </c>
      <c r="C77" s="247" t="str">
        <f>"   FCR less Depreciation  (TCOS, ln "&amp;'PSO TCOS'!B30&amp;")"</f>
        <v xml:space="preserve">   FCR less Depreciation  (TCOS, ln 10)</v>
      </c>
      <c r="F77" s="1389">
        <f>+'PSO TCOS'!L30</f>
        <v>0.10357596017730604</v>
      </c>
      <c r="G77" s="1389"/>
      <c r="H77" s="1390"/>
    </row>
    <row r="78" spans="1:19">
      <c r="A78" s="1231">
        <f t="shared" si="1"/>
        <v>50</v>
      </c>
      <c r="C78" s="1106" t="str">
        <f>"   Incremental FCR with "&amp;F12&amp;" Basis Point ROE increase, less Depreciation"</f>
        <v xml:space="preserve">   Incremental FCR with 0 Basis Point ROE increase, less Depreciation</v>
      </c>
      <c r="F78" s="1298">
        <f>F76-F77</f>
        <v>0</v>
      </c>
      <c r="G78" s="1298"/>
    </row>
    <row r="79" spans="1:19">
      <c r="A79" s="1231"/>
      <c r="C79" s="1106"/>
      <c r="F79" s="1298"/>
      <c r="G79" s="1298"/>
    </row>
    <row r="80" spans="1:19" ht="18.75">
      <c r="A80" s="1231"/>
      <c r="B80" s="1279" t="s">
        <v>314</v>
      </c>
      <c r="C80" s="1277" t="s">
        <v>382</v>
      </c>
      <c r="F80" s="1298"/>
      <c r="G80" s="1298"/>
    </row>
    <row r="81" spans="1:16">
      <c r="A81" s="1231">
        <f>+A78+1</f>
        <v>51</v>
      </c>
      <c r="C81" s="1106" t="str">
        <f>"Transmission Plant Average Balance for "&amp;'PSO TCOS'!$N$2&amp;" (WS A-1 Ln "&amp;'PSO WS A-1 - Plant'!A24&amp;" Col "&amp;'PSO WS A-1 - Plant'!E9&amp;")"</f>
        <v>Transmission Plant Average Balance for 2018 (WS A-1 Ln 14 Col (d))</v>
      </c>
      <c r="F81" s="1107">
        <f>+'PSO WS A-1 - Plant'!E24</f>
        <v>875615136.5</v>
      </c>
      <c r="G81" s="1107"/>
    </row>
    <row r="82" spans="1:16">
      <c r="A82" s="1231">
        <f t="shared" si="1"/>
        <v>52</v>
      </c>
      <c r="C82" s="247" t="str">
        <f>"Annual Depreciation Expense  (TCOS, ln "&amp;'PSO TCOS'!B153&amp;")"</f>
        <v>Annual Depreciation Expense  (TCOS, ln 86)</v>
      </c>
      <c r="F82" s="1107">
        <f>+'PSO TCOS'!G153</f>
        <v>20436310</v>
      </c>
      <c r="G82" s="1107"/>
    </row>
    <row r="83" spans="1:16">
      <c r="A83" s="1231">
        <f t="shared" si="1"/>
        <v>53</v>
      </c>
      <c r="C83" s="1106" t="s">
        <v>383</v>
      </c>
      <c r="F83" s="1298">
        <f>IF(F81=0,0,F82/F81)</f>
        <v>2.3339374969793023E-2</v>
      </c>
      <c r="G83" s="1298"/>
      <c r="I83" s="1051"/>
    </row>
    <row r="84" spans="1:16">
      <c r="A84" s="1231">
        <f t="shared" si="1"/>
        <v>54</v>
      </c>
      <c r="C84" s="1106" t="s">
        <v>384</v>
      </c>
      <c r="F84" s="1391">
        <f>IF(F83=0,0,1/F83)</f>
        <v>42.84604884639154</v>
      </c>
      <c r="G84" s="1391"/>
    </row>
    <row r="85" spans="1:16">
      <c r="A85" s="1231">
        <f t="shared" si="1"/>
        <v>55</v>
      </c>
      <c r="C85" s="1106" t="s">
        <v>385</v>
      </c>
      <c r="F85" s="1096">
        <f>ROUND(F84,0)</f>
        <v>43</v>
      </c>
      <c r="G85" s="1096"/>
    </row>
    <row r="86" spans="1:16">
      <c r="C86" s="1106"/>
      <c r="F86" s="1096"/>
      <c r="G86" s="1096"/>
    </row>
    <row r="87" spans="1:16">
      <c r="C87" s="1106"/>
      <c r="F87" s="1096"/>
      <c r="G87" s="1096"/>
    </row>
    <row r="88" spans="1:16" ht="20.25">
      <c r="A88" s="1392" t="str">
        <f>"'Worksheet F --  "&amp;'PSO TCOS'!F8&amp;" --  Calculation of Projected ARR for SPP Base Plan Upgrade Projects"</f>
        <v>'Worksheet F --  PUBLIC SERVICE COMPANY OF OKLAHOMA --  Calculation of Projected ARR for SPP Base Plan Upgrade Projects</v>
      </c>
      <c r="B88" s="1008"/>
      <c r="C88" s="1106"/>
      <c r="D88" s="1393"/>
      <c r="E88" s="1008"/>
      <c r="F88" s="1394"/>
      <c r="G88" s="1008"/>
      <c r="H88" s="1395"/>
      <c r="I88" s="1008"/>
      <c r="J88" s="1396"/>
      <c r="K88" s="1397"/>
      <c r="L88" s="1397"/>
      <c r="M88" s="1397"/>
      <c r="N88" s="1398"/>
      <c r="O88" s="1008"/>
    </row>
    <row r="89" spans="1:16" ht="18">
      <c r="A89" s="1008"/>
      <c r="B89" s="1008"/>
      <c r="C89" s="1008"/>
      <c r="D89" s="1393"/>
      <c r="E89" s="1008"/>
      <c r="F89" s="1008"/>
      <c r="G89" s="1008"/>
      <c r="H89" s="1395"/>
      <c r="I89" s="1008"/>
      <c r="J89" s="1396"/>
      <c r="K89" s="1008"/>
      <c r="L89" s="1008"/>
      <c r="M89" s="1008"/>
      <c r="N89" s="1399"/>
      <c r="O89" s="1008"/>
    </row>
    <row r="90" spans="1:16" ht="18.75">
      <c r="A90" s="1008"/>
      <c r="B90" s="1279" t="s">
        <v>315</v>
      </c>
      <c r="C90" s="1277" t="s">
        <v>447</v>
      </c>
      <c r="D90" s="1393"/>
      <c r="E90" s="1008"/>
      <c r="F90" s="1008"/>
      <c r="G90" s="1008"/>
      <c r="H90" s="1395"/>
      <c r="I90" s="1395"/>
      <c r="J90" s="1400"/>
      <c r="K90" s="1395"/>
      <c r="L90" s="1395"/>
      <c r="M90" s="1395"/>
      <c r="N90" s="1395"/>
      <c r="O90" s="1008"/>
      <c r="P90" s="1401"/>
    </row>
    <row r="91" spans="1:16" ht="15.75" thickBot="1">
      <c r="A91" s="1008"/>
      <c r="B91" s="1008"/>
      <c r="C91" s="835"/>
      <c r="D91" s="1393"/>
      <c r="E91" s="1008"/>
      <c r="F91" s="1008"/>
      <c r="G91" s="1008"/>
      <c r="H91" s="1395"/>
      <c r="I91" s="1395"/>
      <c r="J91" s="1400"/>
      <c r="K91" s="1395"/>
      <c r="L91" s="1395"/>
      <c r="M91" s="1395"/>
      <c r="N91" s="1395"/>
      <c r="O91" s="1008"/>
      <c r="P91" s="1008"/>
    </row>
    <row r="92" spans="1:16" ht="15">
      <c r="A92" s="1008"/>
      <c r="B92" s="1008"/>
      <c r="C92" s="1402" t="s">
        <v>448</v>
      </c>
      <c r="D92" s="1393"/>
      <c r="E92" s="1008"/>
      <c r="F92" s="1008"/>
      <c r="G92" s="1403"/>
      <c r="H92" s="1404"/>
      <c r="I92" s="1008"/>
      <c r="J92" s="1396"/>
      <c r="K92" s="1405" t="s">
        <v>482</v>
      </c>
      <c r="L92" s="1406"/>
      <c r="M92" s="1407"/>
      <c r="N92" s="1408"/>
      <c r="O92" s="1008"/>
      <c r="P92" s="1008"/>
    </row>
    <row r="93" spans="1:16" ht="15.75">
      <c r="A93" s="1008"/>
      <c r="B93" s="1008"/>
      <c r="C93" s="1409"/>
      <c r="D93" s="1393"/>
      <c r="E93" s="1008"/>
      <c r="F93" s="1008"/>
      <c r="G93" s="1008"/>
      <c r="H93" s="1410"/>
      <c r="I93" s="1410"/>
      <c r="J93" s="1411"/>
      <c r="K93" s="1412" t="s">
        <v>483</v>
      </c>
      <c r="L93" s="1413"/>
      <c r="M93" s="1396"/>
      <c r="N93" s="1414"/>
      <c r="O93" s="1008"/>
      <c r="P93" s="1008"/>
    </row>
    <row r="94" spans="1:16" ht="13.5" thickBot="1">
      <c r="A94" s="1008"/>
      <c r="B94" s="1008"/>
      <c r="C94" s="1077" t="s">
        <v>449</v>
      </c>
      <c r="D94" s="1415"/>
      <c r="E94" s="1415"/>
      <c r="F94" s="1415"/>
      <c r="G94" s="1008"/>
      <c r="H94" s="1395"/>
      <c r="I94" s="1395"/>
      <c r="J94" s="1400"/>
      <c r="K94" s="1416" t="s">
        <v>450</v>
      </c>
      <c r="L94" s="1417"/>
      <c r="M94" s="1417"/>
      <c r="N94" s="1418">
        <f>+N93-N92</f>
        <v>0</v>
      </c>
      <c r="O94" s="1008"/>
      <c r="P94" s="1008"/>
    </row>
    <row r="95" spans="1:16" ht="13.5" thickBot="1">
      <c r="A95" s="1008"/>
      <c r="B95" s="1008"/>
      <c r="C95" s="1419"/>
      <c r="D95" s="1198"/>
      <c r="E95" s="1280"/>
      <c r="F95" s="1280"/>
      <c r="G95" s="1280"/>
      <c r="H95" s="1280"/>
      <c r="I95" s="1280"/>
      <c r="J95" s="1315"/>
      <c r="K95" s="1280"/>
      <c r="L95" s="1280"/>
      <c r="M95" s="1280"/>
      <c r="N95" s="1280"/>
      <c r="O95" s="1315"/>
    </row>
    <row r="96" spans="1:16" ht="13.5" thickBot="1">
      <c r="A96" s="1008"/>
      <c r="B96" s="1008"/>
      <c r="C96" s="1420" t="s">
        <v>451</v>
      </c>
      <c r="D96" s="1421"/>
      <c r="E96" s="1422" t="s">
        <v>898</v>
      </c>
      <c r="F96" s="1423"/>
      <c r="G96" s="1423"/>
      <c r="H96" s="1423"/>
      <c r="I96" s="1424"/>
      <c r="J96" s="1425"/>
      <c r="K96" s="1008"/>
      <c r="L96" s="1008"/>
      <c r="M96" s="1008"/>
      <c r="N96" s="1008"/>
      <c r="O96" s="1426"/>
      <c r="P96" s="1396"/>
    </row>
    <row r="97" spans="1:16">
      <c r="A97" s="1008"/>
      <c r="B97" s="1008"/>
      <c r="C97" s="1427" t="s">
        <v>452</v>
      </c>
      <c r="D97" s="1428"/>
      <c r="E97" s="1360" t="s">
        <v>51</v>
      </c>
      <c r="F97" s="1426"/>
      <c r="G97" s="1429"/>
      <c r="H97" s="1429"/>
      <c r="I97" s="1430">
        <f>+K19</f>
        <v>2018</v>
      </c>
      <c r="J97" s="1425"/>
      <c r="K97" s="1400" t="s">
        <v>453</v>
      </c>
      <c r="L97" s="1008"/>
      <c r="M97" s="1008"/>
      <c r="N97" s="1008"/>
      <c r="O97" s="1396"/>
      <c r="P97" s="1396"/>
    </row>
    <row r="98" spans="1:16">
      <c r="A98" s="1008"/>
      <c r="B98" s="1008"/>
      <c r="C98" s="1325" t="s">
        <v>454</v>
      </c>
      <c r="D98" s="1431"/>
      <c r="E98" s="1325" t="s">
        <v>455</v>
      </c>
      <c r="F98" s="1429"/>
      <c r="G98" s="1396"/>
      <c r="H98" s="1396"/>
      <c r="I98" s="1432">
        <f>+F12</f>
        <v>0</v>
      </c>
      <c r="J98" s="1433"/>
      <c r="K98" s="1008" t="str">
        <f>"          INPUT PROJECTED ARR (WITH &amp; WITHOUT INCENTIVES) FROM EACH PRIOR YEAR"</f>
        <v xml:space="preserve">          INPUT PROJECTED ARR (WITH &amp; WITHOUT INCENTIVES) FROM EACH PRIOR YEAR</v>
      </c>
      <c r="L98" s="1008"/>
      <c r="M98" s="1008"/>
      <c r="N98" s="1008"/>
      <c r="O98" s="1396"/>
      <c r="P98" s="1396"/>
    </row>
    <row r="99" spans="1:16">
      <c r="A99" s="1008"/>
      <c r="B99" s="1008"/>
      <c r="C99" s="1325" t="s">
        <v>456</v>
      </c>
      <c r="D99" s="1428">
        <v>0</v>
      </c>
      <c r="E99" s="1325" t="s">
        <v>457</v>
      </c>
      <c r="F99" s="1429"/>
      <c r="G99" s="1396"/>
      <c r="H99" s="1396"/>
      <c r="I99" s="1434">
        <f>+F77</f>
        <v>0.10357596017730604</v>
      </c>
      <c r="J99" s="1356"/>
      <c r="K99" s="1008" t="s">
        <v>458</v>
      </c>
      <c r="L99" s="1008"/>
      <c r="M99" s="1008"/>
      <c r="N99" s="1008"/>
      <c r="O99" s="1396"/>
      <c r="P99" s="1396"/>
    </row>
    <row r="100" spans="1:16">
      <c r="A100" s="1008"/>
      <c r="B100" s="1008"/>
      <c r="C100" s="1325" t="s">
        <v>459</v>
      </c>
      <c r="D100" s="1428">
        <v>0</v>
      </c>
      <c r="E100" s="1325" t="s">
        <v>460</v>
      </c>
      <c r="F100" s="1429"/>
      <c r="G100" s="1396"/>
      <c r="H100" s="1396"/>
      <c r="I100" s="1434">
        <f>IF(G92="",I99,F76)</f>
        <v>0.10357596017730604</v>
      </c>
      <c r="J100" s="1356"/>
      <c r="K100" s="1400" t="s">
        <v>461</v>
      </c>
      <c r="L100" s="1435"/>
      <c r="M100" s="1435"/>
      <c r="N100" s="1435"/>
      <c r="O100" s="1396"/>
      <c r="P100" s="1396"/>
    </row>
    <row r="101" spans="1:16" ht="13.5" thickBot="1">
      <c r="A101" s="1008"/>
      <c r="B101" s="1008"/>
      <c r="C101" s="1325" t="s">
        <v>462</v>
      </c>
      <c r="D101" s="1431"/>
      <c r="E101" s="1396" t="s">
        <v>463</v>
      </c>
      <c r="F101" s="1429"/>
      <c r="G101" s="1396"/>
      <c r="H101" s="1396"/>
      <c r="I101" s="1436">
        <f>IF(D97=0,0,D97/D100)</f>
        <v>0</v>
      </c>
      <c r="J101" s="1400"/>
      <c r="K101" s="1400"/>
      <c r="L101" s="1400"/>
      <c r="M101" s="1400"/>
      <c r="N101" s="1400"/>
      <c r="O101" s="1396"/>
      <c r="P101" s="1396"/>
    </row>
    <row r="102" spans="1:16" ht="66" customHeight="1">
      <c r="A102" s="1008"/>
      <c r="B102" s="1008"/>
      <c r="C102" s="1437" t="s">
        <v>386</v>
      </c>
      <c r="D102" s="1438" t="s">
        <v>464</v>
      </c>
      <c r="E102" s="1438" t="s">
        <v>465</v>
      </c>
      <c r="F102" s="1438" t="s">
        <v>466</v>
      </c>
      <c r="G102" s="1439" t="s">
        <v>467</v>
      </c>
      <c r="H102" s="1440" t="s">
        <v>468</v>
      </c>
      <c r="I102" s="1437" t="s">
        <v>469</v>
      </c>
      <c r="J102" s="1441"/>
      <c r="K102" s="1442" t="s">
        <v>470</v>
      </c>
      <c r="L102" s="1443" t="s">
        <v>471</v>
      </c>
      <c r="M102" s="1442" t="s">
        <v>470</v>
      </c>
      <c r="N102" s="1443" t="s">
        <v>471</v>
      </c>
      <c r="O102" s="1444" t="s">
        <v>472</v>
      </c>
      <c r="P102" s="1396"/>
    </row>
    <row r="103" spans="1:16" ht="15" customHeight="1" thickBot="1">
      <c r="A103" s="1008"/>
      <c r="B103" s="1008"/>
      <c r="C103" s="1445" t="s">
        <v>473</v>
      </c>
      <c r="D103" s="1446" t="s">
        <v>318</v>
      </c>
      <c r="E103" s="1446" t="s">
        <v>217</v>
      </c>
      <c r="F103" s="1446" t="s">
        <v>318</v>
      </c>
      <c r="G103" s="1447" t="s">
        <v>474</v>
      </c>
      <c r="H103" s="1448" t="s">
        <v>475</v>
      </c>
      <c r="I103" s="1449" t="s">
        <v>891</v>
      </c>
      <c r="J103" s="1450" t="s">
        <v>476</v>
      </c>
      <c r="K103" s="1451" t="s">
        <v>477</v>
      </c>
      <c r="L103" s="1452" t="s">
        <v>477</v>
      </c>
      <c r="M103" s="1451" t="s">
        <v>892</v>
      </c>
      <c r="N103" s="1453" t="s">
        <v>892</v>
      </c>
      <c r="O103" s="1451" t="s">
        <v>892</v>
      </c>
      <c r="P103" s="1396"/>
    </row>
    <row r="104" spans="1:16">
      <c r="A104" s="1008"/>
      <c r="B104" s="1393"/>
      <c r="C104" s="1454" t="str">
        <f>IF(D98= "","-",D98)</f>
        <v>-</v>
      </c>
      <c r="D104" s="1455">
        <f>D97</f>
        <v>0</v>
      </c>
      <c r="E104" s="1456">
        <f>I101/12*(12-D99)</f>
        <v>0</v>
      </c>
      <c r="F104" s="1455">
        <f t="shared" ref="F104:F159" si="2">+D104-E104</f>
        <v>0</v>
      </c>
      <c r="G104" s="1456">
        <f>+I99*F104+E104</f>
        <v>0</v>
      </c>
      <c r="H104" s="1436">
        <f>+I100*F104+E104</f>
        <v>0</v>
      </c>
      <c r="I104" s="1457">
        <f t="shared" ref="I104:I159" si="3">H104-G104</f>
        <v>0</v>
      </c>
      <c r="J104" s="1457"/>
      <c r="K104" s="1458"/>
      <c r="L104" s="1459">
        <f t="shared" ref="L104:L159" si="4">IF(K104&lt;&gt;0,+G104-K104,0)</f>
        <v>0</v>
      </c>
      <c r="M104" s="1458"/>
      <c r="N104" s="1459">
        <f t="shared" ref="N104:N159" si="5">IF(M104&lt;&gt;0,+H104-M104,0)</f>
        <v>0</v>
      </c>
      <c r="O104" s="1460">
        <f t="shared" ref="O104:O159" si="6">+N104-L104</f>
        <v>0</v>
      </c>
      <c r="P104" s="1396"/>
    </row>
    <row r="105" spans="1:16">
      <c r="A105" s="1008"/>
      <c r="B105" s="1393" t="str">
        <f>IF(D105=F104,"","IU")</f>
        <v/>
      </c>
      <c r="C105" s="1454" t="str">
        <f>IF(D98="","-",+C104+1)</f>
        <v>-</v>
      </c>
      <c r="D105" s="1461">
        <f t="shared" ref="D105:D159" si="7">F104</f>
        <v>0</v>
      </c>
      <c r="E105" s="1462">
        <f>IF(+I101&lt;F104,I101,D105)</f>
        <v>0</v>
      </c>
      <c r="F105" s="1461">
        <f t="shared" si="2"/>
        <v>0</v>
      </c>
      <c r="G105" s="1462">
        <f>+I$11*F105+E105</f>
        <v>0</v>
      </c>
      <c r="H105" s="1436">
        <f>+I$12*F105+E105</f>
        <v>0</v>
      </c>
      <c r="I105" s="1457">
        <f t="shared" si="3"/>
        <v>0</v>
      </c>
      <c r="J105" s="1457"/>
      <c r="K105" s="1463"/>
      <c r="L105" s="1460">
        <f t="shared" si="4"/>
        <v>0</v>
      </c>
      <c r="M105" s="1463"/>
      <c r="N105" s="1460">
        <f t="shared" si="5"/>
        <v>0</v>
      </c>
      <c r="O105" s="1460">
        <f t="shared" si="6"/>
        <v>0</v>
      </c>
      <c r="P105" s="1396"/>
    </row>
    <row r="106" spans="1:16">
      <c r="A106" s="1008"/>
      <c r="B106" s="1393" t="str">
        <f>IF(D106=F105,"","IU")</f>
        <v/>
      </c>
      <c r="C106" s="1454" t="str">
        <f>IF(D98="","-",+C105+1)</f>
        <v>-</v>
      </c>
      <c r="D106" s="1461">
        <f t="shared" si="7"/>
        <v>0</v>
      </c>
      <c r="E106" s="1462">
        <f>IF(+I101&lt;F105,I101,D106)</f>
        <v>0</v>
      </c>
      <c r="F106" s="1461">
        <f t="shared" si="2"/>
        <v>0</v>
      </c>
      <c r="G106" s="1462">
        <f t="shared" ref="G106:G159" si="8">+I$11*F106+E106</f>
        <v>0</v>
      </c>
      <c r="H106" s="1436">
        <f t="shared" ref="H106:H159" si="9">+I$12*F106+E106</f>
        <v>0</v>
      </c>
      <c r="I106" s="1457">
        <f t="shared" si="3"/>
        <v>0</v>
      </c>
      <c r="J106" s="1457"/>
      <c r="K106" s="1463"/>
      <c r="L106" s="1460">
        <f t="shared" si="4"/>
        <v>0</v>
      </c>
      <c r="M106" s="1463"/>
      <c r="N106" s="1460">
        <f t="shared" si="5"/>
        <v>0</v>
      </c>
      <c r="O106" s="1460">
        <f t="shared" si="6"/>
        <v>0</v>
      </c>
      <c r="P106" s="1396"/>
    </row>
    <row r="107" spans="1:16">
      <c r="A107" s="1008"/>
      <c r="B107" s="1393" t="str">
        <f t="shared" ref="B107:B159" si="10">IF(D107=F106,"","IU")</f>
        <v/>
      </c>
      <c r="C107" s="1454" t="str">
        <f>IF(D98="","-",+C106+1)</f>
        <v>-</v>
      </c>
      <c r="D107" s="1461">
        <f t="shared" si="7"/>
        <v>0</v>
      </c>
      <c r="E107" s="1462">
        <f>IF(+I101&lt;F106,I101,D107)</f>
        <v>0</v>
      </c>
      <c r="F107" s="1461">
        <f t="shared" si="2"/>
        <v>0</v>
      </c>
      <c r="G107" s="1462">
        <f t="shared" si="8"/>
        <v>0</v>
      </c>
      <c r="H107" s="1436">
        <f t="shared" si="9"/>
        <v>0</v>
      </c>
      <c r="I107" s="1457">
        <f t="shared" si="3"/>
        <v>0</v>
      </c>
      <c r="J107" s="1457"/>
      <c r="K107" s="1463"/>
      <c r="L107" s="1460">
        <f t="shared" si="4"/>
        <v>0</v>
      </c>
      <c r="M107" s="1463"/>
      <c r="N107" s="1460">
        <f t="shared" si="5"/>
        <v>0</v>
      </c>
      <c r="O107" s="1460">
        <f t="shared" si="6"/>
        <v>0</v>
      </c>
      <c r="P107" s="1396"/>
    </row>
    <row r="108" spans="1:16">
      <c r="A108" s="1008"/>
      <c r="B108" s="1393" t="str">
        <f t="shared" si="10"/>
        <v/>
      </c>
      <c r="C108" s="1454" t="str">
        <f>IF(D98="","-",+C107+1)</f>
        <v>-</v>
      </c>
      <c r="D108" s="1461">
        <f t="shared" si="7"/>
        <v>0</v>
      </c>
      <c r="E108" s="1462">
        <f>IF(+I101&lt;F107,I101,D108)</f>
        <v>0</v>
      </c>
      <c r="F108" s="1461">
        <f t="shared" si="2"/>
        <v>0</v>
      </c>
      <c r="G108" s="1462">
        <f t="shared" si="8"/>
        <v>0</v>
      </c>
      <c r="H108" s="1436">
        <f t="shared" si="9"/>
        <v>0</v>
      </c>
      <c r="I108" s="1457">
        <f t="shared" si="3"/>
        <v>0</v>
      </c>
      <c r="J108" s="1457"/>
      <c r="K108" s="1463"/>
      <c r="L108" s="1460">
        <f t="shared" si="4"/>
        <v>0</v>
      </c>
      <c r="M108" s="1463"/>
      <c r="N108" s="1460">
        <f t="shared" si="5"/>
        <v>0</v>
      </c>
      <c r="O108" s="1460">
        <f t="shared" si="6"/>
        <v>0</v>
      </c>
      <c r="P108" s="1396"/>
    </row>
    <row r="109" spans="1:16">
      <c r="A109" s="1008"/>
      <c r="B109" s="1393" t="str">
        <f t="shared" si="10"/>
        <v/>
      </c>
      <c r="C109" s="1454" t="str">
        <f>IF(D98="","-",+C108+1)</f>
        <v>-</v>
      </c>
      <c r="D109" s="1461">
        <f t="shared" si="7"/>
        <v>0</v>
      </c>
      <c r="E109" s="1462">
        <f>IF(+I101&lt;F108,I101,D109)</f>
        <v>0</v>
      </c>
      <c r="F109" s="1461">
        <f t="shared" si="2"/>
        <v>0</v>
      </c>
      <c r="G109" s="1462">
        <f t="shared" si="8"/>
        <v>0</v>
      </c>
      <c r="H109" s="1436">
        <f t="shared" si="9"/>
        <v>0</v>
      </c>
      <c r="I109" s="1457">
        <f t="shared" si="3"/>
        <v>0</v>
      </c>
      <c r="J109" s="1457"/>
      <c r="K109" s="1463"/>
      <c r="L109" s="1460">
        <f t="shared" si="4"/>
        <v>0</v>
      </c>
      <c r="M109" s="1463"/>
      <c r="N109" s="1460">
        <f t="shared" si="5"/>
        <v>0</v>
      </c>
      <c r="O109" s="1460">
        <f t="shared" si="6"/>
        <v>0</v>
      </c>
      <c r="P109" s="1396"/>
    </row>
    <row r="110" spans="1:16">
      <c r="A110" s="1008"/>
      <c r="B110" s="1393" t="str">
        <f t="shared" si="10"/>
        <v/>
      </c>
      <c r="C110" s="1454" t="str">
        <f>IF(D98="","-",+C109+1)</f>
        <v>-</v>
      </c>
      <c r="D110" s="1461">
        <f t="shared" si="7"/>
        <v>0</v>
      </c>
      <c r="E110" s="1462">
        <f>IF(+I101&lt;F109,I101,D110)</f>
        <v>0</v>
      </c>
      <c r="F110" s="1461">
        <f t="shared" si="2"/>
        <v>0</v>
      </c>
      <c r="G110" s="1462">
        <f t="shared" si="8"/>
        <v>0</v>
      </c>
      <c r="H110" s="1436">
        <f t="shared" si="9"/>
        <v>0</v>
      </c>
      <c r="I110" s="1457">
        <f t="shared" si="3"/>
        <v>0</v>
      </c>
      <c r="J110" s="1457"/>
      <c r="K110" s="1463"/>
      <c r="L110" s="1460">
        <f t="shared" si="4"/>
        <v>0</v>
      </c>
      <c r="M110" s="1463"/>
      <c r="N110" s="1460">
        <f t="shared" si="5"/>
        <v>0</v>
      </c>
      <c r="O110" s="1460">
        <f t="shared" si="6"/>
        <v>0</v>
      </c>
      <c r="P110" s="1396"/>
    </row>
    <row r="111" spans="1:16">
      <c r="A111" s="1008"/>
      <c r="B111" s="1393" t="str">
        <f t="shared" si="10"/>
        <v/>
      </c>
      <c r="C111" s="1454" t="str">
        <f>IF(D98="","-",+C110+1)</f>
        <v>-</v>
      </c>
      <c r="D111" s="1461">
        <f t="shared" si="7"/>
        <v>0</v>
      </c>
      <c r="E111" s="1462">
        <f>IF(+I101&lt;F110,I101,D111)</f>
        <v>0</v>
      </c>
      <c r="F111" s="1461">
        <f t="shared" si="2"/>
        <v>0</v>
      </c>
      <c r="G111" s="1462">
        <f t="shared" si="8"/>
        <v>0</v>
      </c>
      <c r="H111" s="1436">
        <f t="shared" si="9"/>
        <v>0</v>
      </c>
      <c r="I111" s="1457">
        <f t="shared" si="3"/>
        <v>0</v>
      </c>
      <c r="J111" s="1457"/>
      <c r="K111" s="1463"/>
      <c r="L111" s="1460">
        <f t="shared" si="4"/>
        <v>0</v>
      </c>
      <c r="M111" s="1463"/>
      <c r="N111" s="1460">
        <f t="shared" si="5"/>
        <v>0</v>
      </c>
      <c r="O111" s="1460">
        <f t="shared" si="6"/>
        <v>0</v>
      </c>
      <c r="P111" s="1396"/>
    </row>
    <row r="112" spans="1:16">
      <c r="A112" s="1008"/>
      <c r="B112" s="1393" t="str">
        <f t="shared" si="10"/>
        <v/>
      </c>
      <c r="C112" s="1454" t="str">
        <f>IF(D98="","-",+C111+1)</f>
        <v>-</v>
      </c>
      <c r="D112" s="1461">
        <f t="shared" si="7"/>
        <v>0</v>
      </c>
      <c r="E112" s="1462">
        <f>IF(+I101&lt;F111,I101,D112)</f>
        <v>0</v>
      </c>
      <c r="F112" s="1461">
        <f t="shared" si="2"/>
        <v>0</v>
      </c>
      <c r="G112" s="1462">
        <f t="shared" si="8"/>
        <v>0</v>
      </c>
      <c r="H112" s="1436">
        <f t="shared" si="9"/>
        <v>0</v>
      </c>
      <c r="I112" s="1457">
        <f t="shared" si="3"/>
        <v>0</v>
      </c>
      <c r="J112" s="1457"/>
      <c r="K112" s="1463"/>
      <c r="L112" s="1460">
        <f t="shared" si="4"/>
        <v>0</v>
      </c>
      <c r="M112" s="1463"/>
      <c r="N112" s="1460">
        <f t="shared" si="5"/>
        <v>0</v>
      </c>
      <c r="O112" s="1460">
        <f t="shared" si="6"/>
        <v>0</v>
      </c>
      <c r="P112" s="1396"/>
    </row>
    <row r="113" spans="1:16">
      <c r="A113" s="1008"/>
      <c r="B113" s="1393" t="str">
        <f t="shared" si="10"/>
        <v/>
      </c>
      <c r="C113" s="1454" t="str">
        <f>IF(D98="","-",+C112+1)</f>
        <v>-</v>
      </c>
      <c r="D113" s="1461">
        <f t="shared" si="7"/>
        <v>0</v>
      </c>
      <c r="E113" s="1462">
        <f>IF(+I101&lt;F112,I101,D113)</f>
        <v>0</v>
      </c>
      <c r="F113" s="1461">
        <f t="shared" si="2"/>
        <v>0</v>
      </c>
      <c r="G113" s="1462">
        <f t="shared" si="8"/>
        <v>0</v>
      </c>
      <c r="H113" s="1436">
        <f t="shared" si="9"/>
        <v>0</v>
      </c>
      <c r="I113" s="1457">
        <f t="shared" si="3"/>
        <v>0</v>
      </c>
      <c r="J113" s="1457"/>
      <c r="K113" s="1463"/>
      <c r="L113" s="1460">
        <f t="shared" si="4"/>
        <v>0</v>
      </c>
      <c r="M113" s="1463"/>
      <c r="N113" s="1460">
        <f t="shared" si="5"/>
        <v>0</v>
      </c>
      <c r="O113" s="1460">
        <f t="shared" si="6"/>
        <v>0</v>
      </c>
      <c r="P113" s="1396"/>
    </row>
    <row r="114" spans="1:16">
      <c r="A114" s="1008"/>
      <c r="B114" s="1393" t="str">
        <f t="shared" si="10"/>
        <v/>
      </c>
      <c r="C114" s="1454" t="str">
        <f>IF(D98="","-",+C113+1)</f>
        <v>-</v>
      </c>
      <c r="D114" s="1464">
        <f t="shared" si="7"/>
        <v>0</v>
      </c>
      <c r="E114" s="1462">
        <f>IF(+I101&lt;F113,I101,D114)</f>
        <v>0</v>
      </c>
      <c r="F114" s="1461">
        <f t="shared" si="2"/>
        <v>0</v>
      </c>
      <c r="G114" s="1462">
        <f t="shared" si="8"/>
        <v>0</v>
      </c>
      <c r="H114" s="1436">
        <f t="shared" si="9"/>
        <v>0</v>
      </c>
      <c r="I114" s="1457">
        <f t="shared" si="3"/>
        <v>0</v>
      </c>
      <c r="J114" s="1457"/>
      <c r="K114" s="1463"/>
      <c r="L114" s="1460">
        <f t="shared" si="4"/>
        <v>0</v>
      </c>
      <c r="M114" s="1463"/>
      <c r="N114" s="1460">
        <f t="shared" si="5"/>
        <v>0</v>
      </c>
      <c r="O114" s="1460">
        <f t="shared" si="6"/>
        <v>0</v>
      </c>
      <c r="P114" s="1396"/>
    </row>
    <row r="115" spans="1:16">
      <c r="A115" s="1008"/>
      <c r="B115" s="1393" t="str">
        <f t="shared" si="10"/>
        <v/>
      </c>
      <c r="C115" s="1454" t="str">
        <f>IF(D98="","-",+C114+1)</f>
        <v>-</v>
      </c>
      <c r="D115" s="1461">
        <f t="shared" si="7"/>
        <v>0</v>
      </c>
      <c r="E115" s="1462">
        <f>IF(+I101&lt;F114,I101,D115)</f>
        <v>0</v>
      </c>
      <c r="F115" s="1461">
        <f t="shared" si="2"/>
        <v>0</v>
      </c>
      <c r="G115" s="1462">
        <f t="shared" si="8"/>
        <v>0</v>
      </c>
      <c r="H115" s="1436">
        <f t="shared" si="9"/>
        <v>0</v>
      </c>
      <c r="I115" s="1457">
        <f t="shared" si="3"/>
        <v>0</v>
      </c>
      <c r="J115" s="1457"/>
      <c r="K115" s="1463"/>
      <c r="L115" s="1460">
        <f t="shared" si="4"/>
        <v>0</v>
      </c>
      <c r="M115" s="1463"/>
      <c r="N115" s="1460">
        <f t="shared" si="5"/>
        <v>0</v>
      </c>
      <c r="O115" s="1460">
        <f t="shared" si="6"/>
        <v>0</v>
      </c>
      <c r="P115" s="1396"/>
    </row>
    <row r="116" spans="1:16">
      <c r="A116" s="1008"/>
      <c r="B116" s="1393" t="str">
        <f t="shared" si="10"/>
        <v/>
      </c>
      <c r="C116" s="1454" t="str">
        <f>IF(D98="","-",+C115+1)</f>
        <v>-</v>
      </c>
      <c r="D116" s="1461">
        <f t="shared" si="7"/>
        <v>0</v>
      </c>
      <c r="E116" s="1462">
        <f>IF(+I101&lt;F115,I101,D116)</f>
        <v>0</v>
      </c>
      <c r="F116" s="1461">
        <f t="shared" si="2"/>
        <v>0</v>
      </c>
      <c r="G116" s="1462">
        <f t="shared" si="8"/>
        <v>0</v>
      </c>
      <c r="H116" s="1436">
        <f t="shared" si="9"/>
        <v>0</v>
      </c>
      <c r="I116" s="1457">
        <f t="shared" si="3"/>
        <v>0</v>
      </c>
      <c r="J116" s="1457"/>
      <c r="K116" s="1463"/>
      <c r="L116" s="1460">
        <f t="shared" si="4"/>
        <v>0</v>
      </c>
      <c r="M116" s="1463"/>
      <c r="N116" s="1460">
        <f t="shared" si="5"/>
        <v>0</v>
      </c>
      <c r="O116" s="1460">
        <f t="shared" si="6"/>
        <v>0</v>
      </c>
      <c r="P116" s="1396"/>
    </row>
    <row r="117" spans="1:16">
      <c r="A117" s="1008"/>
      <c r="B117" s="1393" t="str">
        <f t="shared" si="10"/>
        <v/>
      </c>
      <c r="C117" s="1454" t="str">
        <f>IF(D98="","-",+C116+1)</f>
        <v>-</v>
      </c>
      <c r="D117" s="1461">
        <f t="shared" si="7"/>
        <v>0</v>
      </c>
      <c r="E117" s="1462">
        <f>IF(+I101&lt;F116,I101,D117)</f>
        <v>0</v>
      </c>
      <c r="F117" s="1461">
        <f t="shared" si="2"/>
        <v>0</v>
      </c>
      <c r="G117" s="1462">
        <f t="shared" si="8"/>
        <v>0</v>
      </c>
      <c r="H117" s="1436">
        <f t="shared" si="9"/>
        <v>0</v>
      </c>
      <c r="I117" s="1457">
        <f t="shared" si="3"/>
        <v>0</v>
      </c>
      <c r="J117" s="1457"/>
      <c r="K117" s="1463"/>
      <c r="L117" s="1460">
        <f t="shared" si="4"/>
        <v>0</v>
      </c>
      <c r="M117" s="1463"/>
      <c r="N117" s="1460">
        <f t="shared" si="5"/>
        <v>0</v>
      </c>
      <c r="O117" s="1460">
        <f t="shared" si="6"/>
        <v>0</v>
      </c>
      <c r="P117" s="1396"/>
    </row>
    <row r="118" spans="1:16">
      <c r="A118" s="1008"/>
      <c r="B118" s="1393" t="str">
        <f t="shared" si="10"/>
        <v/>
      </c>
      <c r="C118" s="1454" t="str">
        <f>IF(D98="","-",+C117+1)</f>
        <v>-</v>
      </c>
      <c r="D118" s="1461">
        <f t="shared" si="7"/>
        <v>0</v>
      </c>
      <c r="E118" s="1462">
        <f>IF(+I101&lt;F117,I101,D118)</f>
        <v>0</v>
      </c>
      <c r="F118" s="1461">
        <f t="shared" si="2"/>
        <v>0</v>
      </c>
      <c r="G118" s="1462">
        <f t="shared" si="8"/>
        <v>0</v>
      </c>
      <c r="H118" s="1436">
        <f t="shared" si="9"/>
        <v>0</v>
      </c>
      <c r="I118" s="1457">
        <f t="shared" si="3"/>
        <v>0</v>
      </c>
      <c r="J118" s="1457"/>
      <c r="K118" s="1463"/>
      <c r="L118" s="1460">
        <f t="shared" si="4"/>
        <v>0</v>
      </c>
      <c r="M118" s="1463"/>
      <c r="N118" s="1460">
        <f t="shared" si="5"/>
        <v>0</v>
      </c>
      <c r="O118" s="1460">
        <f t="shared" si="6"/>
        <v>0</v>
      </c>
      <c r="P118" s="1396"/>
    </row>
    <row r="119" spans="1:16">
      <c r="A119" s="1008"/>
      <c r="B119" s="1393" t="str">
        <f t="shared" si="10"/>
        <v/>
      </c>
      <c r="C119" s="1454" t="str">
        <f>IF(D98="","-",+C118+1)</f>
        <v>-</v>
      </c>
      <c r="D119" s="1461">
        <f t="shared" si="7"/>
        <v>0</v>
      </c>
      <c r="E119" s="1462">
        <f>IF(+I101&lt;F118,I101,D119)</f>
        <v>0</v>
      </c>
      <c r="F119" s="1461">
        <f t="shared" si="2"/>
        <v>0</v>
      </c>
      <c r="G119" s="1462">
        <f t="shared" si="8"/>
        <v>0</v>
      </c>
      <c r="H119" s="1436">
        <f t="shared" si="9"/>
        <v>0</v>
      </c>
      <c r="I119" s="1457">
        <f t="shared" si="3"/>
        <v>0</v>
      </c>
      <c r="J119" s="1457"/>
      <c r="K119" s="1463"/>
      <c r="L119" s="1460">
        <f t="shared" si="4"/>
        <v>0</v>
      </c>
      <c r="M119" s="1463"/>
      <c r="N119" s="1460">
        <f t="shared" si="5"/>
        <v>0</v>
      </c>
      <c r="O119" s="1460">
        <f t="shared" si="6"/>
        <v>0</v>
      </c>
      <c r="P119" s="1396"/>
    </row>
    <row r="120" spans="1:16">
      <c r="A120" s="1008"/>
      <c r="B120" s="1393" t="str">
        <f t="shared" si="10"/>
        <v/>
      </c>
      <c r="C120" s="1454" t="str">
        <f>IF(D98="","-",+C119+1)</f>
        <v>-</v>
      </c>
      <c r="D120" s="1461">
        <f t="shared" si="7"/>
        <v>0</v>
      </c>
      <c r="E120" s="1462">
        <f>IF(+I101&lt;F119,I101,D120)</f>
        <v>0</v>
      </c>
      <c r="F120" s="1461">
        <f t="shared" si="2"/>
        <v>0</v>
      </c>
      <c r="G120" s="1462">
        <f t="shared" si="8"/>
        <v>0</v>
      </c>
      <c r="H120" s="1436">
        <f t="shared" si="9"/>
        <v>0</v>
      </c>
      <c r="I120" s="1457">
        <f t="shared" si="3"/>
        <v>0</v>
      </c>
      <c r="J120" s="1457"/>
      <c r="K120" s="1463"/>
      <c r="L120" s="1460">
        <f t="shared" si="4"/>
        <v>0</v>
      </c>
      <c r="M120" s="1463"/>
      <c r="N120" s="1460">
        <f t="shared" si="5"/>
        <v>0</v>
      </c>
      <c r="O120" s="1460">
        <f t="shared" si="6"/>
        <v>0</v>
      </c>
      <c r="P120" s="1396"/>
    </row>
    <row r="121" spans="1:16">
      <c r="A121" s="1008"/>
      <c r="B121" s="1393" t="str">
        <f t="shared" si="10"/>
        <v/>
      </c>
      <c r="C121" s="1454" t="str">
        <f>IF(D98="","-",+C120+1)</f>
        <v>-</v>
      </c>
      <c r="D121" s="1461">
        <f t="shared" si="7"/>
        <v>0</v>
      </c>
      <c r="E121" s="1462">
        <f>IF(+I101&lt;F120,I101,D121)</f>
        <v>0</v>
      </c>
      <c r="F121" s="1461">
        <f t="shared" si="2"/>
        <v>0</v>
      </c>
      <c r="G121" s="1462">
        <f t="shared" si="8"/>
        <v>0</v>
      </c>
      <c r="H121" s="1436">
        <f t="shared" si="9"/>
        <v>0</v>
      </c>
      <c r="I121" s="1457">
        <f t="shared" si="3"/>
        <v>0</v>
      </c>
      <c r="J121" s="1457"/>
      <c r="K121" s="1463"/>
      <c r="L121" s="1460">
        <f t="shared" si="4"/>
        <v>0</v>
      </c>
      <c r="M121" s="1463"/>
      <c r="N121" s="1460">
        <f t="shared" si="5"/>
        <v>0</v>
      </c>
      <c r="O121" s="1460">
        <f t="shared" si="6"/>
        <v>0</v>
      </c>
      <c r="P121" s="1396"/>
    </row>
    <row r="122" spans="1:16">
      <c r="A122" s="1008"/>
      <c r="B122" s="1393" t="str">
        <f t="shared" si="10"/>
        <v/>
      </c>
      <c r="C122" s="1454" t="str">
        <f>IF(D98="","-",+C121+1)</f>
        <v>-</v>
      </c>
      <c r="D122" s="1461">
        <f t="shared" si="7"/>
        <v>0</v>
      </c>
      <c r="E122" s="1462">
        <f>IF(+I101&lt;F121,I101,D122)</f>
        <v>0</v>
      </c>
      <c r="F122" s="1461">
        <f t="shared" si="2"/>
        <v>0</v>
      </c>
      <c r="G122" s="1462">
        <f t="shared" si="8"/>
        <v>0</v>
      </c>
      <c r="H122" s="1436">
        <f t="shared" si="9"/>
        <v>0</v>
      </c>
      <c r="I122" s="1457">
        <f t="shared" si="3"/>
        <v>0</v>
      </c>
      <c r="J122" s="1457"/>
      <c r="K122" s="1463"/>
      <c r="L122" s="1460">
        <f t="shared" si="4"/>
        <v>0</v>
      </c>
      <c r="M122" s="1463"/>
      <c r="N122" s="1460">
        <f t="shared" si="5"/>
        <v>0</v>
      </c>
      <c r="O122" s="1460">
        <f t="shared" si="6"/>
        <v>0</v>
      </c>
      <c r="P122" s="1396"/>
    </row>
    <row r="123" spans="1:16">
      <c r="A123" s="1008"/>
      <c r="B123" s="1393" t="str">
        <f t="shared" si="10"/>
        <v/>
      </c>
      <c r="C123" s="1454" t="str">
        <f>IF(D98="","-",+C122+1)</f>
        <v>-</v>
      </c>
      <c r="D123" s="1461">
        <f t="shared" si="7"/>
        <v>0</v>
      </c>
      <c r="E123" s="1462">
        <f>IF(+I101&lt;F122,I101,D123)</f>
        <v>0</v>
      </c>
      <c r="F123" s="1461">
        <f t="shared" si="2"/>
        <v>0</v>
      </c>
      <c r="G123" s="1462">
        <f t="shared" si="8"/>
        <v>0</v>
      </c>
      <c r="H123" s="1436">
        <f t="shared" si="9"/>
        <v>0</v>
      </c>
      <c r="I123" s="1457">
        <f t="shared" si="3"/>
        <v>0</v>
      </c>
      <c r="J123" s="1457"/>
      <c r="K123" s="1463"/>
      <c r="L123" s="1460">
        <f t="shared" si="4"/>
        <v>0</v>
      </c>
      <c r="M123" s="1463"/>
      <c r="N123" s="1460">
        <f t="shared" si="5"/>
        <v>0</v>
      </c>
      <c r="O123" s="1460">
        <f t="shared" si="6"/>
        <v>0</v>
      </c>
      <c r="P123" s="1396"/>
    </row>
    <row r="124" spans="1:16">
      <c r="A124" s="1008"/>
      <c r="B124" s="1393" t="str">
        <f t="shared" si="10"/>
        <v/>
      </c>
      <c r="C124" s="1454" t="str">
        <f>IF(D98="","-",+C123+1)</f>
        <v>-</v>
      </c>
      <c r="D124" s="1461">
        <f t="shared" si="7"/>
        <v>0</v>
      </c>
      <c r="E124" s="1462">
        <f>IF(+I101&lt;F123,I101,D124)</f>
        <v>0</v>
      </c>
      <c r="F124" s="1461">
        <f t="shared" si="2"/>
        <v>0</v>
      </c>
      <c r="G124" s="1462">
        <f t="shared" si="8"/>
        <v>0</v>
      </c>
      <c r="H124" s="1436">
        <f t="shared" si="9"/>
        <v>0</v>
      </c>
      <c r="I124" s="1457">
        <f t="shared" si="3"/>
        <v>0</v>
      </c>
      <c r="J124" s="1457"/>
      <c r="K124" s="1463"/>
      <c r="L124" s="1460">
        <f t="shared" si="4"/>
        <v>0</v>
      </c>
      <c r="M124" s="1463"/>
      <c r="N124" s="1460">
        <f t="shared" si="5"/>
        <v>0</v>
      </c>
      <c r="O124" s="1460">
        <f t="shared" si="6"/>
        <v>0</v>
      </c>
      <c r="P124" s="1396"/>
    </row>
    <row r="125" spans="1:16">
      <c r="A125" s="1008"/>
      <c r="B125" s="1393" t="str">
        <f t="shared" si="10"/>
        <v/>
      </c>
      <c r="C125" s="1454" t="str">
        <f>IF(D98="","-",+C124+1)</f>
        <v>-</v>
      </c>
      <c r="D125" s="1461">
        <f t="shared" si="7"/>
        <v>0</v>
      </c>
      <c r="E125" s="1462">
        <f>IF(+I101&lt;F124,I101,D125)</f>
        <v>0</v>
      </c>
      <c r="F125" s="1461">
        <f t="shared" si="2"/>
        <v>0</v>
      </c>
      <c r="G125" s="1462">
        <f t="shared" si="8"/>
        <v>0</v>
      </c>
      <c r="H125" s="1436">
        <f t="shared" si="9"/>
        <v>0</v>
      </c>
      <c r="I125" s="1457">
        <f t="shared" si="3"/>
        <v>0</v>
      </c>
      <c r="J125" s="1457"/>
      <c r="K125" s="1463"/>
      <c r="L125" s="1460">
        <f t="shared" si="4"/>
        <v>0</v>
      </c>
      <c r="M125" s="1463"/>
      <c r="N125" s="1460">
        <f t="shared" si="5"/>
        <v>0</v>
      </c>
      <c r="O125" s="1460">
        <f t="shared" si="6"/>
        <v>0</v>
      </c>
      <c r="P125" s="1396"/>
    </row>
    <row r="126" spans="1:16">
      <c r="A126" s="1008"/>
      <c r="B126" s="1393" t="str">
        <f t="shared" si="10"/>
        <v/>
      </c>
      <c r="C126" s="1454" t="str">
        <f>IF(D98="","-",+C125+1)</f>
        <v>-</v>
      </c>
      <c r="D126" s="1461">
        <f t="shared" si="7"/>
        <v>0</v>
      </c>
      <c r="E126" s="1462">
        <f>IF(+I101&lt;F125,I101,D126)</f>
        <v>0</v>
      </c>
      <c r="F126" s="1461">
        <f t="shared" si="2"/>
        <v>0</v>
      </c>
      <c r="G126" s="1462">
        <f t="shared" si="8"/>
        <v>0</v>
      </c>
      <c r="H126" s="1436">
        <f t="shared" si="9"/>
        <v>0</v>
      </c>
      <c r="I126" s="1457">
        <f t="shared" si="3"/>
        <v>0</v>
      </c>
      <c r="J126" s="1457"/>
      <c r="K126" s="1463"/>
      <c r="L126" s="1460">
        <f t="shared" si="4"/>
        <v>0</v>
      </c>
      <c r="M126" s="1463"/>
      <c r="N126" s="1460">
        <f t="shared" si="5"/>
        <v>0</v>
      </c>
      <c r="O126" s="1460">
        <f t="shared" si="6"/>
        <v>0</v>
      </c>
      <c r="P126" s="1396"/>
    </row>
    <row r="127" spans="1:16">
      <c r="A127" s="1008"/>
      <c r="B127" s="1393" t="str">
        <f t="shared" si="10"/>
        <v/>
      </c>
      <c r="C127" s="1454" t="str">
        <f>IF(D98="","-",+C126+1)</f>
        <v>-</v>
      </c>
      <c r="D127" s="1461">
        <f t="shared" si="7"/>
        <v>0</v>
      </c>
      <c r="E127" s="1462">
        <f>IF(+I101&lt;F126,I101,D127)</f>
        <v>0</v>
      </c>
      <c r="F127" s="1461">
        <f t="shared" si="2"/>
        <v>0</v>
      </c>
      <c r="G127" s="1462">
        <f t="shared" si="8"/>
        <v>0</v>
      </c>
      <c r="H127" s="1436">
        <f t="shared" si="9"/>
        <v>0</v>
      </c>
      <c r="I127" s="1457">
        <f t="shared" si="3"/>
        <v>0</v>
      </c>
      <c r="J127" s="1457"/>
      <c r="K127" s="1463"/>
      <c r="L127" s="1460">
        <f t="shared" si="4"/>
        <v>0</v>
      </c>
      <c r="M127" s="1463"/>
      <c r="N127" s="1460">
        <f t="shared" si="5"/>
        <v>0</v>
      </c>
      <c r="O127" s="1460">
        <f t="shared" si="6"/>
        <v>0</v>
      </c>
      <c r="P127" s="1396"/>
    </row>
    <row r="128" spans="1:16">
      <c r="A128" s="1008"/>
      <c r="B128" s="1393" t="str">
        <f t="shared" si="10"/>
        <v/>
      </c>
      <c r="C128" s="1454" t="str">
        <f>IF(D98="","-",+C127+1)</f>
        <v>-</v>
      </c>
      <c r="D128" s="1461">
        <f t="shared" si="7"/>
        <v>0</v>
      </c>
      <c r="E128" s="1462">
        <f>IF(+I101&lt;F127,I101,D128)</f>
        <v>0</v>
      </c>
      <c r="F128" s="1461">
        <f t="shared" si="2"/>
        <v>0</v>
      </c>
      <c r="G128" s="1462">
        <f t="shared" si="8"/>
        <v>0</v>
      </c>
      <c r="H128" s="1436">
        <f t="shared" si="9"/>
        <v>0</v>
      </c>
      <c r="I128" s="1457">
        <f t="shared" si="3"/>
        <v>0</v>
      </c>
      <c r="J128" s="1457"/>
      <c r="K128" s="1463"/>
      <c r="L128" s="1460">
        <f t="shared" si="4"/>
        <v>0</v>
      </c>
      <c r="M128" s="1463"/>
      <c r="N128" s="1460">
        <f t="shared" si="5"/>
        <v>0</v>
      </c>
      <c r="O128" s="1460">
        <f t="shared" si="6"/>
        <v>0</v>
      </c>
      <c r="P128" s="1396"/>
    </row>
    <row r="129" spans="1:16">
      <c r="A129" s="1008"/>
      <c r="B129" s="1393" t="str">
        <f t="shared" si="10"/>
        <v/>
      </c>
      <c r="C129" s="1454" t="str">
        <f>IF(D98="","-",+C128+1)</f>
        <v>-</v>
      </c>
      <c r="D129" s="1461">
        <f t="shared" si="7"/>
        <v>0</v>
      </c>
      <c r="E129" s="1462">
        <f>IF(+I101&lt;F128,I101,D129)</f>
        <v>0</v>
      </c>
      <c r="F129" s="1461">
        <f t="shared" si="2"/>
        <v>0</v>
      </c>
      <c r="G129" s="1462">
        <f t="shared" si="8"/>
        <v>0</v>
      </c>
      <c r="H129" s="1436">
        <f t="shared" si="9"/>
        <v>0</v>
      </c>
      <c r="I129" s="1457">
        <f t="shared" si="3"/>
        <v>0</v>
      </c>
      <c r="J129" s="1457"/>
      <c r="K129" s="1463"/>
      <c r="L129" s="1460">
        <f t="shared" si="4"/>
        <v>0</v>
      </c>
      <c r="M129" s="1463"/>
      <c r="N129" s="1460">
        <f t="shared" si="5"/>
        <v>0</v>
      </c>
      <c r="O129" s="1460">
        <f t="shared" si="6"/>
        <v>0</v>
      </c>
      <c r="P129" s="1396"/>
    </row>
    <row r="130" spans="1:16">
      <c r="A130" s="1008"/>
      <c r="B130" s="1393" t="str">
        <f t="shared" si="10"/>
        <v/>
      </c>
      <c r="C130" s="1454" t="str">
        <f>IF(D98="","-",+C129+1)</f>
        <v>-</v>
      </c>
      <c r="D130" s="1461">
        <f t="shared" si="7"/>
        <v>0</v>
      </c>
      <c r="E130" s="1462">
        <f>IF(+I101&lt;F129,I101,D130)</f>
        <v>0</v>
      </c>
      <c r="F130" s="1461">
        <f t="shared" si="2"/>
        <v>0</v>
      </c>
      <c r="G130" s="1462">
        <f t="shared" si="8"/>
        <v>0</v>
      </c>
      <c r="H130" s="1436">
        <f t="shared" si="9"/>
        <v>0</v>
      </c>
      <c r="I130" s="1457">
        <f t="shared" si="3"/>
        <v>0</v>
      </c>
      <c r="J130" s="1457"/>
      <c r="K130" s="1463"/>
      <c r="L130" s="1460">
        <f t="shared" si="4"/>
        <v>0</v>
      </c>
      <c r="M130" s="1463"/>
      <c r="N130" s="1460">
        <f t="shared" si="5"/>
        <v>0</v>
      </c>
      <c r="O130" s="1460">
        <f t="shared" si="6"/>
        <v>0</v>
      </c>
      <c r="P130" s="1396"/>
    </row>
    <row r="131" spans="1:16">
      <c r="A131" s="1008"/>
      <c r="B131" s="1393" t="str">
        <f t="shared" si="10"/>
        <v/>
      </c>
      <c r="C131" s="1454" t="str">
        <f>IF(D98="","-",+C130+1)</f>
        <v>-</v>
      </c>
      <c r="D131" s="1461">
        <f t="shared" si="7"/>
        <v>0</v>
      </c>
      <c r="E131" s="1462">
        <f>IF(+I101&lt;F130,I101,D131)</f>
        <v>0</v>
      </c>
      <c r="F131" s="1461">
        <f t="shared" si="2"/>
        <v>0</v>
      </c>
      <c r="G131" s="1462">
        <f t="shared" si="8"/>
        <v>0</v>
      </c>
      <c r="H131" s="1436">
        <f t="shared" si="9"/>
        <v>0</v>
      </c>
      <c r="I131" s="1457">
        <f t="shared" si="3"/>
        <v>0</v>
      </c>
      <c r="J131" s="1457"/>
      <c r="K131" s="1463"/>
      <c r="L131" s="1460">
        <f t="shared" si="4"/>
        <v>0</v>
      </c>
      <c r="M131" s="1463"/>
      <c r="N131" s="1460">
        <f t="shared" si="5"/>
        <v>0</v>
      </c>
      <c r="O131" s="1460">
        <f t="shared" si="6"/>
        <v>0</v>
      </c>
      <c r="P131" s="1396"/>
    </row>
    <row r="132" spans="1:16">
      <c r="A132" s="1008"/>
      <c r="B132" s="1393" t="str">
        <f t="shared" si="10"/>
        <v/>
      </c>
      <c r="C132" s="1454" t="str">
        <f>IF(D98="","-",+C131+1)</f>
        <v>-</v>
      </c>
      <c r="D132" s="1461">
        <f t="shared" si="7"/>
        <v>0</v>
      </c>
      <c r="E132" s="1462">
        <f>IF(+I101&lt;F131,I101,D132)</f>
        <v>0</v>
      </c>
      <c r="F132" s="1461">
        <f t="shared" si="2"/>
        <v>0</v>
      </c>
      <c r="G132" s="1462">
        <f t="shared" si="8"/>
        <v>0</v>
      </c>
      <c r="H132" s="1436">
        <f t="shared" si="9"/>
        <v>0</v>
      </c>
      <c r="I132" s="1457">
        <f t="shared" si="3"/>
        <v>0</v>
      </c>
      <c r="J132" s="1457"/>
      <c r="K132" s="1463"/>
      <c r="L132" s="1460">
        <f t="shared" si="4"/>
        <v>0</v>
      </c>
      <c r="M132" s="1463"/>
      <c r="N132" s="1460">
        <f t="shared" si="5"/>
        <v>0</v>
      </c>
      <c r="O132" s="1460">
        <f t="shared" si="6"/>
        <v>0</v>
      </c>
      <c r="P132" s="1396"/>
    </row>
    <row r="133" spans="1:16">
      <c r="A133" s="1008"/>
      <c r="B133" s="1393" t="str">
        <f t="shared" si="10"/>
        <v/>
      </c>
      <c r="C133" s="1454" t="str">
        <f>IF(D98="","-",+C132+1)</f>
        <v>-</v>
      </c>
      <c r="D133" s="1461">
        <f t="shared" si="7"/>
        <v>0</v>
      </c>
      <c r="E133" s="1462">
        <f>IF(+I101&lt;F132,I101,D133)</f>
        <v>0</v>
      </c>
      <c r="F133" s="1461">
        <f t="shared" si="2"/>
        <v>0</v>
      </c>
      <c r="G133" s="1462">
        <f t="shared" si="8"/>
        <v>0</v>
      </c>
      <c r="H133" s="1436">
        <f t="shared" si="9"/>
        <v>0</v>
      </c>
      <c r="I133" s="1457">
        <f t="shared" si="3"/>
        <v>0</v>
      </c>
      <c r="J133" s="1457"/>
      <c r="K133" s="1463"/>
      <c r="L133" s="1460">
        <f t="shared" si="4"/>
        <v>0</v>
      </c>
      <c r="M133" s="1463"/>
      <c r="N133" s="1460">
        <f t="shared" si="5"/>
        <v>0</v>
      </c>
      <c r="O133" s="1460">
        <f t="shared" si="6"/>
        <v>0</v>
      </c>
      <c r="P133" s="1396"/>
    </row>
    <row r="134" spans="1:16">
      <c r="A134" s="1008"/>
      <c r="B134" s="1393" t="str">
        <f t="shared" si="10"/>
        <v/>
      </c>
      <c r="C134" s="1454" t="str">
        <f>IF(D98="","-",+C133+1)</f>
        <v>-</v>
      </c>
      <c r="D134" s="1461">
        <f t="shared" si="7"/>
        <v>0</v>
      </c>
      <c r="E134" s="1462">
        <f>IF(+I101&lt;F133,I101,D134)</f>
        <v>0</v>
      </c>
      <c r="F134" s="1461">
        <f t="shared" si="2"/>
        <v>0</v>
      </c>
      <c r="G134" s="1462">
        <f t="shared" si="8"/>
        <v>0</v>
      </c>
      <c r="H134" s="1436">
        <f t="shared" si="9"/>
        <v>0</v>
      </c>
      <c r="I134" s="1457">
        <f t="shared" si="3"/>
        <v>0</v>
      </c>
      <c r="J134" s="1457"/>
      <c r="K134" s="1463"/>
      <c r="L134" s="1460">
        <f t="shared" si="4"/>
        <v>0</v>
      </c>
      <c r="M134" s="1463"/>
      <c r="N134" s="1460">
        <f t="shared" si="5"/>
        <v>0</v>
      </c>
      <c r="O134" s="1460">
        <f t="shared" si="6"/>
        <v>0</v>
      </c>
      <c r="P134" s="1396"/>
    </row>
    <row r="135" spans="1:16">
      <c r="A135" s="1008"/>
      <c r="B135" s="1393" t="str">
        <f t="shared" si="10"/>
        <v/>
      </c>
      <c r="C135" s="1454" t="str">
        <f>IF(D98="","-",+C134+1)</f>
        <v>-</v>
      </c>
      <c r="D135" s="1461">
        <f t="shared" si="7"/>
        <v>0</v>
      </c>
      <c r="E135" s="1462">
        <f>IF(+I101&lt;F134,I101,D135)</f>
        <v>0</v>
      </c>
      <c r="F135" s="1461">
        <f t="shared" si="2"/>
        <v>0</v>
      </c>
      <c r="G135" s="1462">
        <f t="shared" si="8"/>
        <v>0</v>
      </c>
      <c r="H135" s="1436">
        <f t="shared" si="9"/>
        <v>0</v>
      </c>
      <c r="I135" s="1457">
        <f t="shared" si="3"/>
        <v>0</v>
      </c>
      <c r="J135" s="1457"/>
      <c r="K135" s="1463"/>
      <c r="L135" s="1460">
        <f t="shared" si="4"/>
        <v>0</v>
      </c>
      <c r="M135" s="1463"/>
      <c r="N135" s="1460">
        <f t="shared" si="5"/>
        <v>0</v>
      </c>
      <c r="O135" s="1460">
        <f t="shared" si="6"/>
        <v>0</v>
      </c>
      <c r="P135" s="1396"/>
    </row>
    <row r="136" spans="1:16">
      <c r="A136" s="1008"/>
      <c r="B136" s="1393" t="str">
        <f t="shared" si="10"/>
        <v/>
      </c>
      <c r="C136" s="1454" t="str">
        <f>IF(D98="","-",+C135+1)</f>
        <v>-</v>
      </c>
      <c r="D136" s="1461">
        <f t="shared" si="7"/>
        <v>0</v>
      </c>
      <c r="E136" s="1462">
        <f>IF(+I101&lt;F135,I101,D136)</f>
        <v>0</v>
      </c>
      <c r="F136" s="1461">
        <f t="shared" si="2"/>
        <v>0</v>
      </c>
      <c r="G136" s="1462">
        <f t="shared" si="8"/>
        <v>0</v>
      </c>
      <c r="H136" s="1436">
        <f t="shared" si="9"/>
        <v>0</v>
      </c>
      <c r="I136" s="1457">
        <f t="shared" si="3"/>
        <v>0</v>
      </c>
      <c r="J136" s="1457"/>
      <c r="K136" s="1463"/>
      <c r="L136" s="1460">
        <f t="shared" si="4"/>
        <v>0</v>
      </c>
      <c r="M136" s="1463"/>
      <c r="N136" s="1460">
        <f t="shared" si="5"/>
        <v>0</v>
      </c>
      <c r="O136" s="1460">
        <f t="shared" si="6"/>
        <v>0</v>
      </c>
      <c r="P136" s="1396"/>
    </row>
    <row r="137" spans="1:16">
      <c r="A137" s="1008"/>
      <c r="B137" s="1393" t="str">
        <f t="shared" si="10"/>
        <v/>
      </c>
      <c r="C137" s="1454" t="str">
        <f>IF(D98="","-",+C136+1)</f>
        <v>-</v>
      </c>
      <c r="D137" s="1461">
        <f t="shared" si="7"/>
        <v>0</v>
      </c>
      <c r="E137" s="1462">
        <f>IF(+I101&lt;F136,I101,D137)</f>
        <v>0</v>
      </c>
      <c r="F137" s="1461">
        <f t="shared" si="2"/>
        <v>0</v>
      </c>
      <c r="G137" s="1462">
        <f t="shared" si="8"/>
        <v>0</v>
      </c>
      <c r="H137" s="1436">
        <f t="shared" si="9"/>
        <v>0</v>
      </c>
      <c r="I137" s="1457">
        <f t="shared" si="3"/>
        <v>0</v>
      </c>
      <c r="J137" s="1457"/>
      <c r="K137" s="1463"/>
      <c r="L137" s="1460">
        <f t="shared" si="4"/>
        <v>0</v>
      </c>
      <c r="M137" s="1463"/>
      <c r="N137" s="1460">
        <f t="shared" si="5"/>
        <v>0</v>
      </c>
      <c r="O137" s="1460">
        <f t="shared" si="6"/>
        <v>0</v>
      </c>
      <c r="P137" s="1396"/>
    </row>
    <row r="138" spans="1:16">
      <c r="A138" s="1008"/>
      <c r="B138" s="1393" t="str">
        <f t="shared" si="10"/>
        <v/>
      </c>
      <c r="C138" s="1454" t="str">
        <f>IF(D98="","-",+C137+1)</f>
        <v>-</v>
      </c>
      <c r="D138" s="1461">
        <f t="shared" si="7"/>
        <v>0</v>
      </c>
      <c r="E138" s="1462">
        <f>IF(+I101&lt;F137,I101,D138)</f>
        <v>0</v>
      </c>
      <c r="F138" s="1461">
        <f t="shared" si="2"/>
        <v>0</v>
      </c>
      <c r="G138" s="1462">
        <f t="shared" si="8"/>
        <v>0</v>
      </c>
      <c r="H138" s="1436">
        <f t="shared" si="9"/>
        <v>0</v>
      </c>
      <c r="I138" s="1457">
        <f t="shared" si="3"/>
        <v>0</v>
      </c>
      <c r="J138" s="1457"/>
      <c r="K138" s="1463"/>
      <c r="L138" s="1460">
        <f t="shared" si="4"/>
        <v>0</v>
      </c>
      <c r="M138" s="1463"/>
      <c r="N138" s="1460">
        <f t="shared" si="5"/>
        <v>0</v>
      </c>
      <c r="O138" s="1460">
        <f t="shared" si="6"/>
        <v>0</v>
      </c>
      <c r="P138" s="1396"/>
    </row>
    <row r="139" spans="1:16">
      <c r="A139" s="1008"/>
      <c r="B139" s="1393" t="str">
        <f t="shared" si="10"/>
        <v/>
      </c>
      <c r="C139" s="1454" t="str">
        <f>IF(D98="","-",+C138+1)</f>
        <v>-</v>
      </c>
      <c r="D139" s="1461">
        <f t="shared" si="7"/>
        <v>0</v>
      </c>
      <c r="E139" s="1462">
        <f>IF(+I101&lt;F138,I101,D139)</f>
        <v>0</v>
      </c>
      <c r="F139" s="1461">
        <f t="shared" si="2"/>
        <v>0</v>
      </c>
      <c r="G139" s="1462">
        <f t="shared" si="8"/>
        <v>0</v>
      </c>
      <c r="H139" s="1436">
        <f t="shared" si="9"/>
        <v>0</v>
      </c>
      <c r="I139" s="1457">
        <f t="shared" si="3"/>
        <v>0</v>
      </c>
      <c r="J139" s="1457"/>
      <c r="K139" s="1463"/>
      <c r="L139" s="1460">
        <f t="shared" si="4"/>
        <v>0</v>
      </c>
      <c r="M139" s="1463"/>
      <c r="N139" s="1460">
        <f t="shared" si="5"/>
        <v>0</v>
      </c>
      <c r="O139" s="1460">
        <f t="shared" si="6"/>
        <v>0</v>
      </c>
      <c r="P139" s="1396"/>
    </row>
    <row r="140" spans="1:16">
      <c r="A140" s="1008"/>
      <c r="B140" s="1393" t="str">
        <f t="shared" si="10"/>
        <v/>
      </c>
      <c r="C140" s="1454" t="str">
        <f>IF(D98="","-",+C139+1)</f>
        <v>-</v>
      </c>
      <c r="D140" s="1461">
        <f t="shared" si="7"/>
        <v>0</v>
      </c>
      <c r="E140" s="1462">
        <f>IF(+I101&lt;F139,I101,D140)</f>
        <v>0</v>
      </c>
      <c r="F140" s="1461">
        <f t="shared" si="2"/>
        <v>0</v>
      </c>
      <c r="G140" s="1462">
        <f t="shared" si="8"/>
        <v>0</v>
      </c>
      <c r="H140" s="1436">
        <f t="shared" si="9"/>
        <v>0</v>
      </c>
      <c r="I140" s="1457">
        <f t="shared" si="3"/>
        <v>0</v>
      </c>
      <c r="J140" s="1457"/>
      <c r="K140" s="1463"/>
      <c r="L140" s="1460">
        <f t="shared" si="4"/>
        <v>0</v>
      </c>
      <c r="M140" s="1463"/>
      <c r="N140" s="1460">
        <f t="shared" si="5"/>
        <v>0</v>
      </c>
      <c r="O140" s="1460">
        <f t="shared" si="6"/>
        <v>0</v>
      </c>
      <c r="P140" s="1396"/>
    </row>
    <row r="141" spans="1:16">
      <c r="A141" s="1008"/>
      <c r="B141" s="1393" t="str">
        <f t="shared" si="10"/>
        <v/>
      </c>
      <c r="C141" s="1454" t="str">
        <f>IF(D98="","-",+C140+1)</f>
        <v>-</v>
      </c>
      <c r="D141" s="1461">
        <f t="shared" si="7"/>
        <v>0</v>
      </c>
      <c r="E141" s="1462">
        <f>IF(+I101&lt;F140,I101,D141)</f>
        <v>0</v>
      </c>
      <c r="F141" s="1461">
        <f t="shared" si="2"/>
        <v>0</v>
      </c>
      <c r="G141" s="1462">
        <f t="shared" si="8"/>
        <v>0</v>
      </c>
      <c r="H141" s="1436">
        <f t="shared" si="9"/>
        <v>0</v>
      </c>
      <c r="I141" s="1457">
        <f t="shared" si="3"/>
        <v>0</v>
      </c>
      <c r="J141" s="1457"/>
      <c r="K141" s="1463"/>
      <c r="L141" s="1460">
        <f t="shared" si="4"/>
        <v>0</v>
      </c>
      <c r="M141" s="1463"/>
      <c r="N141" s="1460">
        <f t="shared" si="5"/>
        <v>0</v>
      </c>
      <c r="O141" s="1460">
        <f t="shared" si="6"/>
        <v>0</v>
      </c>
      <c r="P141" s="1396"/>
    </row>
    <row r="142" spans="1:16">
      <c r="A142" s="1008"/>
      <c r="B142" s="1393" t="str">
        <f t="shared" si="10"/>
        <v/>
      </c>
      <c r="C142" s="1454" t="str">
        <f>IF(D98="","-",+C141+1)</f>
        <v>-</v>
      </c>
      <c r="D142" s="1461">
        <f t="shared" si="7"/>
        <v>0</v>
      </c>
      <c r="E142" s="1462">
        <f>IF(+I101&lt;F141,I101,D142)</f>
        <v>0</v>
      </c>
      <c r="F142" s="1461">
        <f t="shared" si="2"/>
        <v>0</v>
      </c>
      <c r="G142" s="1462">
        <f t="shared" si="8"/>
        <v>0</v>
      </c>
      <c r="H142" s="1436">
        <f t="shared" si="9"/>
        <v>0</v>
      </c>
      <c r="I142" s="1457">
        <f t="shared" si="3"/>
        <v>0</v>
      </c>
      <c r="J142" s="1457"/>
      <c r="K142" s="1463"/>
      <c r="L142" s="1460">
        <f t="shared" si="4"/>
        <v>0</v>
      </c>
      <c r="M142" s="1463"/>
      <c r="N142" s="1460">
        <f t="shared" si="5"/>
        <v>0</v>
      </c>
      <c r="O142" s="1460">
        <f t="shared" si="6"/>
        <v>0</v>
      </c>
      <c r="P142" s="1396"/>
    </row>
    <row r="143" spans="1:16">
      <c r="A143" s="1008"/>
      <c r="B143" s="1393" t="str">
        <f t="shared" si="10"/>
        <v/>
      </c>
      <c r="C143" s="1454" t="str">
        <f>IF(D98="","-",+C142+1)</f>
        <v>-</v>
      </c>
      <c r="D143" s="1461">
        <f t="shared" si="7"/>
        <v>0</v>
      </c>
      <c r="E143" s="1462">
        <f>IF(+I101&lt;F142,I101,D143)</f>
        <v>0</v>
      </c>
      <c r="F143" s="1461">
        <f t="shared" si="2"/>
        <v>0</v>
      </c>
      <c r="G143" s="1462">
        <f t="shared" si="8"/>
        <v>0</v>
      </c>
      <c r="H143" s="1436">
        <f t="shared" si="9"/>
        <v>0</v>
      </c>
      <c r="I143" s="1457">
        <f t="shared" si="3"/>
        <v>0</v>
      </c>
      <c r="J143" s="1457"/>
      <c r="K143" s="1463"/>
      <c r="L143" s="1460">
        <f t="shared" si="4"/>
        <v>0</v>
      </c>
      <c r="M143" s="1463"/>
      <c r="N143" s="1460">
        <f t="shared" si="5"/>
        <v>0</v>
      </c>
      <c r="O143" s="1460">
        <f t="shared" si="6"/>
        <v>0</v>
      </c>
      <c r="P143" s="1396"/>
    </row>
    <row r="144" spans="1:16">
      <c r="A144" s="1008"/>
      <c r="B144" s="1393" t="str">
        <f t="shared" si="10"/>
        <v/>
      </c>
      <c r="C144" s="1454" t="str">
        <f>IF(D98="","-",+C143+1)</f>
        <v>-</v>
      </c>
      <c r="D144" s="1461">
        <f t="shared" si="7"/>
        <v>0</v>
      </c>
      <c r="E144" s="1462">
        <f>IF(+I101&lt;F143,I101,D144)</f>
        <v>0</v>
      </c>
      <c r="F144" s="1461">
        <f t="shared" si="2"/>
        <v>0</v>
      </c>
      <c r="G144" s="1462">
        <f t="shared" si="8"/>
        <v>0</v>
      </c>
      <c r="H144" s="1436">
        <f t="shared" si="9"/>
        <v>0</v>
      </c>
      <c r="I144" s="1457">
        <f t="shared" si="3"/>
        <v>0</v>
      </c>
      <c r="J144" s="1457"/>
      <c r="K144" s="1463"/>
      <c r="L144" s="1460">
        <f t="shared" si="4"/>
        <v>0</v>
      </c>
      <c r="M144" s="1463"/>
      <c r="N144" s="1460">
        <f t="shared" si="5"/>
        <v>0</v>
      </c>
      <c r="O144" s="1460">
        <f t="shared" si="6"/>
        <v>0</v>
      </c>
      <c r="P144" s="1396"/>
    </row>
    <row r="145" spans="1:16">
      <c r="A145" s="1008"/>
      <c r="B145" s="1393" t="str">
        <f t="shared" si="10"/>
        <v/>
      </c>
      <c r="C145" s="1454" t="str">
        <f>IF(D98="","-",+C144+1)</f>
        <v>-</v>
      </c>
      <c r="D145" s="1461">
        <f t="shared" si="7"/>
        <v>0</v>
      </c>
      <c r="E145" s="1462">
        <f>IF(+I101&lt;F144,I101,D145)</f>
        <v>0</v>
      </c>
      <c r="F145" s="1461">
        <f t="shared" si="2"/>
        <v>0</v>
      </c>
      <c r="G145" s="1462">
        <f t="shared" si="8"/>
        <v>0</v>
      </c>
      <c r="H145" s="1436">
        <f t="shared" si="9"/>
        <v>0</v>
      </c>
      <c r="I145" s="1457">
        <f t="shared" si="3"/>
        <v>0</v>
      </c>
      <c r="J145" s="1457"/>
      <c r="K145" s="1463"/>
      <c r="L145" s="1460">
        <f t="shared" si="4"/>
        <v>0</v>
      </c>
      <c r="M145" s="1463"/>
      <c r="N145" s="1460">
        <f t="shared" si="5"/>
        <v>0</v>
      </c>
      <c r="O145" s="1460">
        <f t="shared" si="6"/>
        <v>0</v>
      </c>
      <c r="P145" s="1396"/>
    </row>
    <row r="146" spans="1:16">
      <c r="A146" s="1008"/>
      <c r="B146" s="1393" t="str">
        <f t="shared" si="10"/>
        <v/>
      </c>
      <c r="C146" s="1454" t="str">
        <f>IF(D98="","-",+C145+1)</f>
        <v>-</v>
      </c>
      <c r="D146" s="1461">
        <f t="shared" si="7"/>
        <v>0</v>
      </c>
      <c r="E146" s="1462">
        <f>IF(+I101&lt;F145,I101,D146)</f>
        <v>0</v>
      </c>
      <c r="F146" s="1461">
        <f t="shared" si="2"/>
        <v>0</v>
      </c>
      <c r="G146" s="1462">
        <f t="shared" si="8"/>
        <v>0</v>
      </c>
      <c r="H146" s="1436">
        <f t="shared" si="9"/>
        <v>0</v>
      </c>
      <c r="I146" s="1457">
        <f t="shared" si="3"/>
        <v>0</v>
      </c>
      <c r="J146" s="1457"/>
      <c r="K146" s="1463"/>
      <c r="L146" s="1460">
        <f t="shared" si="4"/>
        <v>0</v>
      </c>
      <c r="M146" s="1463"/>
      <c r="N146" s="1460">
        <f t="shared" si="5"/>
        <v>0</v>
      </c>
      <c r="O146" s="1460">
        <f t="shared" si="6"/>
        <v>0</v>
      </c>
      <c r="P146" s="1396"/>
    </row>
    <row r="147" spans="1:16">
      <c r="A147" s="1008"/>
      <c r="B147" s="1393" t="str">
        <f t="shared" si="10"/>
        <v/>
      </c>
      <c r="C147" s="1454" t="str">
        <f>IF(D98="","-",+C146+1)</f>
        <v>-</v>
      </c>
      <c r="D147" s="1461">
        <f t="shared" si="7"/>
        <v>0</v>
      </c>
      <c r="E147" s="1462">
        <f>IF(+I101&lt;F146,I101,D147)</f>
        <v>0</v>
      </c>
      <c r="F147" s="1461">
        <f t="shared" si="2"/>
        <v>0</v>
      </c>
      <c r="G147" s="1462">
        <f t="shared" si="8"/>
        <v>0</v>
      </c>
      <c r="H147" s="1436">
        <f t="shared" si="9"/>
        <v>0</v>
      </c>
      <c r="I147" s="1457">
        <f t="shared" si="3"/>
        <v>0</v>
      </c>
      <c r="J147" s="1457"/>
      <c r="K147" s="1463"/>
      <c r="L147" s="1460">
        <f t="shared" si="4"/>
        <v>0</v>
      </c>
      <c r="M147" s="1463"/>
      <c r="N147" s="1460">
        <f t="shared" si="5"/>
        <v>0</v>
      </c>
      <c r="O147" s="1460">
        <f t="shared" si="6"/>
        <v>0</v>
      </c>
      <c r="P147" s="1396"/>
    </row>
    <row r="148" spans="1:16">
      <c r="A148" s="1008"/>
      <c r="B148" s="1393" t="str">
        <f t="shared" si="10"/>
        <v/>
      </c>
      <c r="C148" s="1454" t="str">
        <f>IF(D98="","-",+C147+1)</f>
        <v>-</v>
      </c>
      <c r="D148" s="1461">
        <f t="shared" si="7"/>
        <v>0</v>
      </c>
      <c r="E148" s="1462">
        <f>IF(+I101&lt;F147,I101,D148)</f>
        <v>0</v>
      </c>
      <c r="F148" s="1461">
        <f t="shared" si="2"/>
        <v>0</v>
      </c>
      <c r="G148" s="1465">
        <f t="shared" si="8"/>
        <v>0</v>
      </c>
      <c r="H148" s="1436">
        <f t="shared" si="9"/>
        <v>0</v>
      </c>
      <c r="I148" s="1457">
        <f t="shared" si="3"/>
        <v>0</v>
      </c>
      <c r="J148" s="1457"/>
      <c r="K148" s="1463"/>
      <c r="L148" s="1460">
        <f t="shared" si="4"/>
        <v>0</v>
      </c>
      <c r="M148" s="1463"/>
      <c r="N148" s="1460">
        <f t="shared" si="5"/>
        <v>0</v>
      </c>
      <c r="O148" s="1460">
        <f t="shared" si="6"/>
        <v>0</v>
      </c>
      <c r="P148" s="1396"/>
    </row>
    <row r="149" spans="1:16">
      <c r="A149" s="1008"/>
      <c r="B149" s="1393" t="str">
        <f t="shared" si="10"/>
        <v/>
      </c>
      <c r="C149" s="1454" t="str">
        <f>IF(D98="","-",+C148+1)</f>
        <v>-</v>
      </c>
      <c r="D149" s="1461">
        <f t="shared" si="7"/>
        <v>0</v>
      </c>
      <c r="E149" s="1462">
        <f>IF(+I101&lt;F148,I101,D149)</f>
        <v>0</v>
      </c>
      <c r="F149" s="1461">
        <f t="shared" si="2"/>
        <v>0</v>
      </c>
      <c r="G149" s="1465">
        <f t="shared" si="8"/>
        <v>0</v>
      </c>
      <c r="H149" s="1436">
        <f t="shared" si="9"/>
        <v>0</v>
      </c>
      <c r="I149" s="1457">
        <f t="shared" si="3"/>
        <v>0</v>
      </c>
      <c r="J149" s="1457"/>
      <c r="K149" s="1463"/>
      <c r="L149" s="1460">
        <f t="shared" si="4"/>
        <v>0</v>
      </c>
      <c r="M149" s="1463"/>
      <c r="N149" s="1460">
        <f t="shared" si="5"/>
        <v>0</v>
      </c>
      <c r="O149" s="1460">
        <f t="shared" si="6"/>
        <v>0</v>
      </c>
      <c r="P149" s="1396"/>
    </row>
    <row r="150" spans="1:16">
      <c r="A150" s="1008"/>
      <c r="B150" s="1393" t="str">
        <f t="shared" si="10"/>
        <v/>
      </c>
      <c r="C150" s="1454" t="str">
        <f>IF(D98="","-",+C149+1)</f>
        <v>-</v>
      </c>
      <c r="D150" s="1461">
        <f t="shared" si="7"/>
        <v>0</v>
      </c>
      <c r="E150" s="1462">
        <f>IF(+I101&lt;F149,I101,D150)</f>
        <v>0</v>
      </c>
      <c r="F150" s="1461">
        <f t="shared" si="2"/>
        <v>0</v>
      </c>
      <c r="G150" s="1465">
        <f t="shared" si="8"/>
        <v>0</v>
      </c>
      <c r="H150" s="1436">
        <f t="shared" si="9"/>
        <v>0</v>
      </c>
      <c r="I150" s="1457">
        <f t="shared" si="3"/>
        <v>0</v>
      </c>
      <c r="J150" s="1457"/>
      <c r="K150" s="1463"/>
      <c r="L150" s="1460">
        <f t="shared" si="4"/>
        <v>0</v>
      </c>
      <c r="M150" s="1463"/>
      <c r="N150" s="1460">
        <f t="shared" si="5"/>
        <v>0</v>
      </c>
      <c r="O150" s="1460">
        <f t="shared" si="6"/>
        <v>0</v>
      </c>
      <c r="P150" s="1396"/>
    </row>
    <row r="151" spans="1:16">
      <c r="A151" s="1008"/>
      <c r="B151" s="1393" t="str">
        <f t="shared" si="10"/>
        <v/>
      </c>
      <c r="C151" s="1454" t="str">
        <f>IF(D98="","-",+C150+1)</f>
        <v>-</v>
      </c>
      <c r="D151" s="1461">
        <f t="shared" si="7"/>
        <v>0</v>
      </c>
      <c r="E151" s="1462">
        <f>IF(+I101&lt;F150,I101,D151)</f>
        <v>0</v>
      </c>
      <c r="F151" s="1461">
        <f t="shared" si="2"/>
        <v>0</v>
      </c>
      <c r="G151" s="1465">
        <f t="shared" si="8"/>
        <v>0</v>
      </c>
      <c r="H151" s="1436">
        <f t="shared" si="9"/>
        <v>0</v>
      </c>
      <c r="I151" s="1457">
        <f t="shared" si="3"/>
        <v>0</v>
      </c>
      <c r="J151" s="1457"/>
      <c r="K151" s="1463"/>
      <c r="L151" s="1460">
        <f t="shared" si="4"/>
        <v>0</v>
      </c>
      <c r="M151" s="1463"/>
      <c r="N151" s="1460">
        <f t="shared" si="5"/>
        <v>0</v>
      </c>
      <c r="O151" s="1460">
        <f t="shared" si="6"/>
        <v>0</v>
      </c>
      <c r="P151" s="1396"/>
    </row>
    <row r="152" spans="1:16">
      <c r="A152" s="1008"/>
      <c r="B152" s="1393" t="str">
        <f t="shared" si="10"/>
        <v/>
      </c>
      <c r="C152" s="1454" t="str">
        <f>IF(D98="","-",+C151+1)</f>
        <v>-</v>
      </c>
      <c r="D152" s="1461">
        <f t="shared" si="7"/>
        <v>0</v>
      </c>
      <c r="E152" s="1462">
        <f>IF(+I101&lt;F151,I101,D152)</f>
        <v>0</v>
      </c>
      <c r="F152" s="1461">
        <f t="shared" si="2"/>
        <v>0</v>
      </c>
      <c r="G152" s="1465">
        <f t="shared" si="8"/>
        <v>0</v>
      </c>
      <c r="H152" s="1436">
        <f t="shared" si="9"/>
        <v>0</v>
      </c>
      <c r="I152" s="1457">
        <f t="shared" si="3"/>
        <v>0</v>
      </c>
      <c r="J152" s="1457"/>
      <c r="K152" s="1463"/>
      <c r="L152" s="1460">
        <f t="shared" si="4"/>
        <v>0</v>
      </c>
      <c r="M152" s="1463"/>
      <c r="N152" s="1460">
        <f t="shared" si="5"/>
        <v>0</v>
      </c>
      <c r="O152" s="1460">
        <f t="shared" si="6"/>
        <v>0</v>
      </c>
      <c r="P152" s="1396"/>
    </row>
    <row r="153" spans="1:16">
      <c r="A153" s="1008"/>
      <c r="B153" s="1393" t="str">
        <f t="shared" si="10"/>
        <v/>
      </c>
      <c r="C153" s="1454" t="str">
        <f>IF(D98="","-",+C152+1)</f>
        <v>-</v>
      </c>
      <c r="D153" s="1461">
        <f t="shared" si="7"/>
        <v>0</v>
      </c>
      <c r="E153" s="1462">
        <f>IF(+I101&lt;F152,I101,D153)</f>
        <v>0</v>
      </c>
      <c r="F153" s="1461">
        <f t="shared" si="2"/>
        <v>0</v>
      </c>
      <c r="G153" s="1465">
        <f t="shared" si="8"/>
        <v>0</v>
      </c>
      <c r="H153" s="1436">
        <f t="shared" si="9"/>
        <v>0</v>
      </c>
      <c r="I153" s="1457">
        <f t="shared" si="3"/>
        <v>0</v>
      </c>
      <c r="J153" s="1457"/>
      <c r="K153" s="1463"/>
      <c r="L153" s="1460">
        <f t="shared" si="4"/>
        <v>0</v>
      </c>
      <c r="M153" s="1463"/>
      <c r="N153" s="1460">
        <f t="shared" si="5"/>
        <v>0</v>
      </c>
      <c r="O153" s="1460">
        <f t="shared" si="6"/>
        <v>0</v>
      </c>
      <c r="P153" s="1396"/>
    </row>
    <row r="154" spans="1:16">
      <c r="A154" s="1008"/>
      <c r="B154" s="1393" t="str">
        <f t="shared" si="10"/>
        <v/>
      </c>
      <c r="C154" s="1454" t="str">
        <f>IF(D98="","-",+C153+1)</f>
        <v>-</v>
      </c>
      <c r="D154" s="1461">
        <f t="shared" si="7"/>
        <v>0</v>
      </c>
      <c r="E154" s="1462">
        <f>IF(+I101&lt;F153,I101,D154)</f>
        <v>0</v>
      </c>
      <c r="F154" s="1461">
        <f t="shared" si="2"/>
        <v>0</v>
      </c>
      <c r="G154" s="1465">
        <f t="shared" si="8"/>
        <v>0</v>
      </c>
      <c r="H154" s="1436">
        <f t="shared" si="9"/>
        <v>0</v>
      </c>
      <c r="I154" s="1457">
        <f t="shared" si="3"/>
        <v>0</v>
      </c>
      <c r="J154" s="1457"/>
      <c r="K154" s="1463"/>
      <c r="L154" s="1460">
        <f t="shared" si="4"/>
        <v>0</v>
      </c>
      <c r="M154" s="1463"/>
      <c r="N154" s="1460">
        <f t="shared" si="5"/>
        <v>0</v>
      </c>
      <c r="O154" s="1460">
        <f t="shared" si="6"/>
        <v>0</v>
      </c>
      <c r="P154" s="1396"/>
    </row>
    <row r="155" spans="1:16">
      <c r="A155" s="1008"/>
      <c r="B155" s="1393" t="str">
        <f t="shared" si="10"/>
        <v/>
      </c>
      <c r="C155" s="1454" t="str">
        <f>IF(D98="","-",+C154+1)</f>
        <v>-</v>
      </c>
      <c r="D155" s="1461">
        <f t="shared" si="7"/>
        <v>0</v>
      </c>
      <c r="E155" s="1462">
        <f>IF(+I101&lt;F154,I101,D155)</f>
        <v>0</v>
      </c>
      <c r="F155" s="1461">
        <f t="shared" si="2"/>
        <v>0</v>
      </c>
      <c r="G155" s="1465">
        <f t="shared" si="8"/>
        <v>0</v>
      </c>
      <c r="H155" s="1436">
        <f t="shared" si="9"/>
        <v>0</v>
      </c>
      <c r="I155" s="1457">
        <f t="shared" si="3"/>
        <v>0</v>
      </c>
      <c r="J155" s="1457"/>
      <c r="K155" s="1463"/>
      <c r="L155" s="1460">
        <f t="shared" si="4"/>
        <v>0</v>
      </c>
      <c r="M155" s="1463"/>
      <c r="N155" s="1460">
        <f t="shared" si="5"/>
        <v>0</v>
      </c>
      <c r="O155" s="1460">
        <f t="shared" si="6"/>
        <v>0</v>
      </c>
      <c r="P155" s="1396"/>
    </row>
    <row r="156" spans="1:16">
      <c r="A156" s="1008"/>
      <c r="B156" s="1393" t="str">
        <f t="shared" si="10"/>
        <v/>
      </c>
      <c r="C156" s="1454" t="str">
        <f>IF(D98="","-",+C155+1)</f>
        <v>-</v>
      </c>
      <c r="D156" s="1461">
        <f t="shared" si="7"/>
        <v>0</v>
      </c>
      <c r="E156" s="1462">
        <f>IF(+I101&lt;F155,I101,D156)</f>
        <v>0</v>
      </c>
      <c r="F156" s="1461">
        <f t="shared" si="2"/>
        <v>0</v>
      </c>
      <c r="G156" s="1465">
        <f t="shared" si="8"/>
        <v>0</v>
      </c>
      <c r="H156" s="1436">
        <f t="shared" si="9"/>
        <v>0</v>
      </c>
      <c r="I156" s="1457">
        <f t="shared" si="3"/>
        <v>0</v>
      </c>
      <c r="J156" s="1457"/>
      <c r="K156" s="1463"/>
      <c r="L156" s="1460">
        <f t="shared" si="4"/>
        <v>0</v>
      </c>
      <c r="M156" s="1463"/>
      <c r="N156" s="1460">
        <f t="shared" si="5"/>
        <v>0</v>
      </c>
      <c r="O156" s="1460">
        <f t="shared" si="6"/>
        <v>0</v>
      </c>
      <c r="P156" s="1396"/>
    </row>
    <row r="157" spans="1:16">
      <c r="A157" s="1008"/>
      <c r="B157" s="1393" t="str">
        <f t="shared" si="10"/>
        <v/>
      </c>
      <c r="C157" s="1454" t="str">
        <f>IF(D98="","-",+C156+1)</f>
        <v>-</v>
      </c>
      <c r="D157" s="1461">
        <f t="shared" si="7"/>
        <v>0</v>
      </c>
      <c r="E157" s="1462">
        <f>IF(+I101&lt;F156,I101,D157)</f>
        <v>0</v>
      </c>
      <c r="F157" s="1461">
        <f t="shared" si="2"/>
        <v>0</v>
      </c>
      <c r="G157" s="1465">
        <f t="shared" si="8"/>
        <v>0</v>
      </c>
      <c r="H157" s="1436">
        <f t="shared" si="9"/>
        <v>0</v>
      </c>
      <c r="I157" s="1457">
        <f t="shared" si="3"/>
        <v>0</v>
      </c>
      <c r="J157" s="1457"/>
      <c r="K157" s="1463"/>
      <c r="L157" s="1460">
        <f t="shared" si="4"/>
        <v>0</v>
      </c>
      <c r="M157" s="1463"/>
      <c r="N157" s="1460">
        <f t="shared" si="5"/>
        <v>0</v>
      </c>
      <c r="O157" s="1460">
        <f t="shared" si="6"/>
        <v>0</v>
      </c>
      <c r="P157" s="1396"/>
    </row>
    <row r="158" spans="1:16">
      <c r="A158" s="1008"/>
      <c r="B158" s="1393" t="str">
        <f t="shared" si="10"/>
        <v/>
      </c>
      <c r="C158" s="1454" t="str">
        <f>IF(D98="","-",+C157+1)</f>
        <v>-</v>
      </c>
      <c r="D158" s="1461">
        <f t="shared" si="7"/>
        <v>0</v>
      </c>
      <c r="E158" s="1462">
        <f>IF(+I101&lt;F157,I101,D158)</f>
        <v>0</v>
      </c>
      <c r="F158" s="1461">
        <f t="shared" si="2"/>
        <v>0</v>
      </c>
      <c r="G158" s="1465">
        <f t="shared" si="8"/>
        <v>0</v>
      </c>
      <c r="H158" s="1436">
        <f t="shared" si="9"/>
        <v>0</v>
      </c>
      <c r="I158" s="1457">
        <f t="shared" si="3"/>
        <v>0</v>
      </c>
      <c r="J158" s="1457"/>
      <c r="K158" s="1463"/>
      <c r="L158" s="1460">
        <f t="shared" si="4"/>
        <v>0</v>
      </c>
      <c r="M158" s="1463"/>
      <c r="N158" s="1460">
        <f t="shared" si="5"/>
        <v>0</v>
      </c>
      <c r="O158" s="1460">
        <f t="shared" si="6"/>
        <v>0</v>
      </c>
      <c r="P158" s="1396"/>
    </row>
    <row r="159" spans="1:16" ht="13.5" thickBot="1">
      <c r="A159" s="1008"/>
      <c r="B159" s="1393" t="str">
        <f t="shared" si="10"/>
        <v/>
      </c>
      <c r="C159" s="1466" t="str">
        <f>IF(D98="","-",+C158+1)</f>
        <v>-</v>
      </c>
      <c r="D159" s="1467">
        <f t="shared" si="7"/>
        <v>0</v>
      </c>
      <c r="E159" s="1468">
        <f>IF(+I101&lt;F158,I101,D159)</f>
        <v>0</v>
      </c>
      <c r="F159" s="1467">
        <f t="shared" si="2"/>
        <v>0</v>
      </c>
      <c r="G159" s="1469">
        <f t="shared" si="8"/>
        <v>0</v>
      </c>
      <c r="H159" s="1418">
        <f t="shared" si="9"/>
        <v>0</v>
      </c>
      <c r="I159" s="1470">
        <f t="shared" si="3"/>
        <v>0</v>
      </c>
      <c r="J159" s="1457"/>
      <c r="K159" s="1471"/>
      <c r="L159" s="1472">
        <f t="shared" si="4"/>
        <v>0</v>
      </c>
      <c r="M159" s="1471"/>
      <c r="N159" s="1472">
        <f t="shared" si="5"/>
        <v>0</v>
      </c>
      <c r="O159" s="1472">
        <f t="shared" si="6"/>
        <v>0</v>
      </c>
      <c r="P159" s="1396"/>
    </row>
    <row r="160" spans="1:16">
      <c r="A160" s="1008"/>
      <c r="B160" s="1008"/>
      <c r="C160" s="1455" t="s">
        <v>478</v>
      </c>
      <c r="D160" s="1400"/>
      <c r="E160" s="1400">
        <f>SUM(E104:E159)</f>
        <v>0</v>
      </c>
      <c r="F160" s="1400"/>
      <c r="G160" s="1400">
        <f>SUM(G104:G159)</f>
        <v>0</v>
      </c>
      <c r="H160" s="1400">
        <f>SUM(H104:H159)</f>
        <v>0</v>
      </c>
      <c r="I160" s="1400">
        <f>SUM(I104:I159)</f>
        <v>0</v>
      </c>
      <c r="J160" s="1400"/>
      <c r="K160" s="1400"/>
      <c r="L160" s="1400"/>
      <c r="M160" s="1400"/>
      <c r="N160" s="1400"/>
      <c r="O160" s="1396"/>
      <c r="P160" s="1396"/>
    </row>
    <row r="161" spans="1:16">
      <c r="A161" s="1008"/>
      <c r="B161" s="1008"/>
      <c r="C161" s="1008"/>
      <c r="D161" s="1393"/>
      <c r="E161" s="1008"/>
      <c r="F161" s="1008"/>
      <c r="G161" s="1008"/>
      <c r="H161" s="1395"/>
      <c r="I161" s="1395"/>
      <c r="J161" s="1400"/>
      <c r="K161" s="1395"/>
      <c r="L161" s="1395"/>
      <c r="M161" s="1395"/>
      <c r="N161" s="1395"/>
      <c r="O161" s="1008"/>
      <c r="P161" s="1008"/>
    </row>
    <row r="162" spans="1:16">
      <c r="A162" s="1008"/>
      <c r="B162" s="1008"/>
      <c r="C162" s="1077" t="s">
        <v>893</v>
      </c>
      <c r="D162" s="1393"/>
      <c r="E162" s="1008"/>
      <c r="F162" s="1008"/>
      <c r="G162" s="1008"/>
      <c r="H162" s="1395"/>
      <c r="I162" s="1395"/>
      <c r="J162" s="1400"/>
      <c r="K162" s="1395"/>
      <c r="L162" s="1395"/>
      <c r="M162" s="1395"/>
      <c r="N162" s="1395"/>
      <c r="O162" s="1008"/>
      <c r="P162" s="1008"/>
    </row>
    <row r="163" spans="1:16">
      <c r="A163" s="1008"/>
      <c r="B163" s="1008"/>
      <c r="C163" s="1077" t="s">
        <v>479</v>
      </c>
      <c r="D163" s="1393"/>
      <c r="E163" s="1008"/>
      <c r="F163" s="1008"/>
      <c r="G163" s="1008"/>
      <c r="H163" s="1395"/>
      <c r="I163" s="1395"/>
      <c r="J163" s="1400"/>
      <c r="K163" s="1395"/>
      <c r="L163" s="1395"/>
      <c r="M163" s="1395"/>
      <c r="N163" s="1395"/>
      <c r="O163" s="1396"/>
      <c r="P163" s="1396"/>
    </row>
    <row r="164" spans="1:16">
      <c r="A164" s="1008"/>
      <c r="B164" s="1008"/>
      <c r="C164" s="1077" t="s">
        <v>480</v>
      </c>
      <c r="D164" s="1455"/>
      <c r="E164" s="1455"/>
      <c r="F164" s="1455"/>
      <c r="G164" s="1400"/>
      <c r="H164" s="1400"/>
      <c r="I164" s="1473"/>
      <c r="J164" s="1473"/>
      <c r="K164" s="1473"/>
      <c r="L164" s="1473"/>
      <c r="M164" s="1473"/>
      <c r="N164" s="1473"/>
      <c r="O164" s="1396"/>
      <c r="P164" s="1396"/>
    </row>
    <row r="165" spans="1:16">
      <c r="A165" s="1008"/>
      <c r="B165" s="1008"/>
      <c r="C165" s="1077"/>
      <c r="D165" s="1455"/>
      <c r="E165" s="1455"/>
      <c r="F165" s="1455"/>
      <c r="G165" s="1400"/>
      <c r="H165" s="1400"/>
      <c r="I165" s="1473"/>
      <c r="J165" s="1473"/>
      <c r="K165" s="1473"/>
      <c r="L165" s="1473"/>
      <c r="M165" s="1473"/>
      <c r="N165" s="1473"/>
      <c r="O165" s="1396"/>
      <c r="P165" s="1008"/>
    </row>
    <row r="166" spans="1:16">
      <c r="A166" s="1008"/>
      <c r="B166" s="1008"/>
      <c r="C166" s="1106"/>
      <c r="D166" s="1393"/>
      <c r="E166" s="1008"/>
      <c r="F166" s="1474"/>
      <c r="G166" s="1008"/>
      <c r="H166" s="1395"/>
      <c r="I166" s="1008"/>
      <c r="J166" s="1396"/>
      <c r="K166" s="1008"/>
      <c r="L166" s="1008"/>
      <c r="M166" s="1008"/>
      <c r="N166" s="1008"/>
      <c r="O166" s="1008"/>
      <c r="P166" s="1008"/>
    </row>
    <row r="167" spans="1:16" ht="18">
      <c r="A167" s="1008"/>
      <c r="B167" s="1008"/>
      <c r="C167" s="1475"/>
      <c r="D167" s="1393"/>
      <c r="E167" s="1008"/>
      <c r="F167" s="1474"/>
      <c r="G167" s="1008"/>
      <c r="H167" s="1395"/>
      <c r="I167" s="1008"/>
      <c r="J167" s="1396"/>
      <c r="K167" s="1008"/>
      <c r="L167" s="1008"/>
      <c r="M167" s="1008"/>
      <c r="N167" s="1008"/>
      <c r="O167" s="1008"/>
      <c r="P167" s="1476"/>
    </row>
    <row r="168" spans="1:16">
      <c r="P168" s="1023"/>
    </row>
    <row r="169" spans="1:16">
      <c r="P169" s="1023"/>
    </row>
    <row r="170" spans="1:16">
      <c r="P170" s="1023"/>
    </row>
    <row r="171" spans="1:16">
      <c r="P171" s="1023"/>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topLeftCell="F7" zoomScale="81" zoomScaleNormal="81" zoomScaleSheetLayoutView="75" workbookViewId="0">
      <selection activeCell="F18" sqref="F18"/>
    </sheetView>
  </sheetViews>
  <sheetFormatPr defaultColWidth="8.85546875" defaultRowHeight="12.75"/>
  <cols>
    <col min="1" max="1" width="9.28515625" style="1023" customWidth="1"/>
    <col min="2" max="2" width="6.7109375" style="1023" customWidth="1"/>
    <col min="3" max="3" width="26.5703125" style="1023" customWidth="1"/>
    <col min="4" max="4" width="17.7109375" style="1231" customWidth="1"/>
    <col min="5" max="5" width="21.7109375" style="1023" customWidth="1"/>
    <col min="6" max="8" width="17.7109375" style="1023" customWidth="1"/>
    <col min="9" max="9" width="19.5703125" style="1052" customWidth="1"/>
    <col min="10" max="10" width="20.28515625" style="1052" customWidth="1"/>
    <col min="11" max="11" width="13.5703125" style="1052" customWidth="1"/>
    <col min="12" max="13" width="17.7109375" style="1023" customWidth="1"/>
    <col min="14" max="14" width="19.28515625" style="1023" customWidth="1"/>
    <col min="15" max="15" width="18.42578125" style="1023" customWidth="1"/>
    <col min="16" max="16" width="19.5703125" style="1023" customWidth="1"/>
    <col min="17" max="17" width="2.140625" style="1106" customWidth="1"/>
    <col min="18" max="18" width="16.42578125" style="1106" customWidth="1"/>
    <col min="19" max="19" width="57.85546875" style="1023" bestFit="1" customWidth="1"/>
    <col min="20" max="20" width="17.140625" style="1023" customWidth="1"/>
    <col min="21" max="16384" width="8.85546875" style="1023"/>
  </cols>
  <sheetData>
    <row r="1" spans="1:21" ht="15">
      <c r="A1" s="1050"/>
    </row>
    <row r="2" spans="1:21" ht="18">
      <c r="A2" s="2458" t="str">
        <f>'PSO TCOS'!F4</f>
        <v xml:space="preserve">AEP West SPP Member Operating Companies </v>
      </c>
      <c r="B2" s="2458"/>
      <c r="C2" s="2458"/>
      <c r="D2" s="2458"/>
      <c r="E2" s="2458"/>
      <c r="F2" s="2458"/>
      <c r="G2" s="2458"/>
      <c r="H2" s="2458"/>
      <c r="I2" s="2458"/>
      <c r="J2" s="1477"/>
      <c r="K2" s="1477"/>
    </row>
    <row r="3" spans="1:21" ht="18">
      <c r="A3" s="2463" t="str">
        <f>+'PSO WS A-1 - Plant'!A3</f>
        <v xml:space="preserve">Actual / Projected 2018 Rate Year Cost of Service Formula Rate </v>
      </c>
      <c r="B3" s="2458"/>
      <c r="C3" s="2458"/>
      <c r="D3" s="2458"/>
      <c r="E3" s="2458"/>
      <c r="F3" s="2458"/>
      <c r="G3" s="2458"/>
      <c r="H3" s="2458"/>
      <c r="I3" s="2458"/>
      <c r="J3" s="1478"/>
      <c r="K3" s="1478"/>
    </row>
    <row r="4" spans="1:21" ht="18">
      <c r="A4" s="2458" t="s">
        <v>895</v>
      </c>
      <c r="B4" s="2458"/>
      <c r="C4" s="2458"/>
      <c r="D4" s="2458"/>
      <c r="E4" s="2458"/>
      <c r="F4" s="2458"/>
      <c r="G4" s="2458"/>
      <c r="H4" s="2458"/>
      <c r="I4" s="2458"/>
      <c r="J4" s="1478"/>
      <c r="K4" s="1478"/>
    </row>
    <row r="5" spans="1:21" ht="18">
      <c r="A5" s="2486" t="str">
        <f>+'PSO TCOS'!F8</f>
        <v>PUBLIC SERVICE COMPANY OF OKLAHOMA</v>
      </c>
      <c r="B5" s="2486"/>
      <c r="C5" s="2486"/>
      <c r="D5" s="2486"/>
      <c r="E5" s="2486"/>
      <c r="F5" s="2486"/>
      <c r="G5" s="2486"/>
      <c r="H5" s="2486"/>
      <c r="I5" s="2486"/>
      <c r="J5" s="1479"/>
      <c r="K5" s="1479"/>
    </row>
    <row r="7" spans="1:21" ht="35.25" customHeight="1">
      <c r="A7" s="1278" t="s">
        <v>310</v>
      </c>
      <c r="B7" s="1279" t="s">
        <v>312</v>
      </c>
      <c r="C7" s="2487" t="str">
        <f>"Calculate Return and Income Taxes with "&amp;F12&amp;" basis point ROE increase for Projects Qualified for Incentive."</f>
        <v>Calculate Return and Income Taxes with 0 basis point ROE increase for Projects Qualified for Incentive.</v>
      </c>
      <c r="D7" s="2451"/>
      <c r="E7" s="2451"/>
      <c r="F7" s="2451"/>
      <c r="G7" s="2451"/>
      <c r="H7" s="2451"/>
      <c r="I7" s="2451"/>
      <c r="J7" s="1280"/>
      <c r="K7" s="1280"/>
      <c r="L7" s="2456" t="s">
        <v>432</v>
      </c>
      <c r="M7" s="2456"/>
      <c r="N7" s="2456"/>
      <c r="O7" s="2456"/>
      <c r="P7" s="2456"/>
      <c r="R7" s="1276" t="s">
        <v>501</v>
      </c>
    </row>
    <row r="8" spans="1:21" ht="15.75" customHeight="1">
      <c r="A8" s="1278" t="s">
        <v>248</v>
      </c>
      <c r="C8" s="1280"/>
      <c r="D8" s="1280"/>
      <c r="E8" s="1280"/>
      <c r="F8" s="1280"/>
      <c r="G8" s="1280"/>
      <c r="H8" s="1280"/>
      <c r="I8" s="1280"/>
      <c r="J8" s="1280"/>
      <c r="K8" s="1280"/>
      <c r="L8" s="2456"/>
      <c r="M8" s="2456"/>
      <c r="N8" s="2456"/>
      <c r="O8" s="2456"/>
      <c r="P8" s="2456"/>
    </row>
    <row r="9" spans="1:21" ht="15.75">
      <c r="C9" s="1281" t="str">
        <f>"A.   Determine 'R' with hypothetical "&amp;F12&amp;" basis point increase in ROE for Identified Projects"</f>
        <v>A.   Determine 'R' with hypothetical 0 basis point increase in ROE for Identified Projects</v>
      </c>
      <c r="L9" s="2456"/>
      <c r="M9" s="2456"/>
      <c r="N9" s="2456"/>
      <c r="O9" s="2456"/>
      <c r="P9" s="2456"/>
      <c r="R9" s="1023"/>
      <c r="S9" s="1023" t="s">
        <v>168</v>
      </c>
    </row>
    <row r="10" spans="1:21" ht="18" customHeight="1">
      <c r="L10" s="2456"/>
      <c r="M10" s="2456"/>
      <c r="N10" s="2456"/>
      <c r="O10" s="2456"/>
      <c r="P10" s="2456"/>
      <c r="R10" s="1282" t="s">
        <v>162</v>
      </c>
      <c r="S10" s="1276" t="s">
        <v>341</v>
      </c>
    </row>
    <row r="11" spans="1:21" ht="13.5" thickBot="1">
      <c r="A11" s="1231">
        <v>1</v>
      </c>
      <c r="C11" s="247" t="str">
        <f>"   ROE w/o incentives  (TCOS, ln "&amp;'PSO TCOS'!B237&amp;")"</f>
        <v xml:space="preserve">   ROE w/o incentives  (TCOS, ln 143)</v>
      </c>
      <c r="E11" s="1283"/>
      <c r="F11" s="1284">
        <f>+'PSO TCOS'!J237</f>
        <v>0.105</v>
      </c>
      <c r="G11" s="1284"/>
      <c r="H11" s="1285"/>
      <c r="I11" s="1286"/>
      <c r="J11" s="1286"/>
      <c r="K11" s="1286"/>
      <c r="L11" s="1280"/>
      <c r="M11" s="1280"/>
      <c r="N11" s="1280"/>
      <c r="O11" s="1280"/>
      <c r="P11" s="1280"/>
      <c r="Q11" s="1287"/>
      <c r="R11" s="1276" t="s">
        <v>435</v>
      </c>
      <c r="T11" s="1290"/>
    </row>
    <row r="12" spans="1:21" ht="14.25">
      <c r="A12" s="1231">
        <f>+A11+1</f>
        <v>2</v>
      </c>
      <c r="C12" s="247" t="s">
        <v>150</v>
      </c>
      <c r="E12" s="1283"/>
      <c r="F12" s="1291">
        <v>0</v>
      </c>
      <c r="G12" s="1292" t="s">
        <v>340</v>
      </c>
      <c r="I12" s="1023"/>
      <c r="J12" s="1023"/>
      <c r="K12" s="1023"/>
      <c r="L12" s="1297"/>
      <c r="M12" s="1297"/>
      <c r="N12" s="1297"/>
      <c r="O12" s="1297"/>
      <c r="P12" s="1297"/>
      <c r="Q12" s="1287"/>
      <c r="R12" s="1288" t="s">
        <v>499</v>
      </c>
      <c r="S12" s="1289" t="s">
        <v>88</v>
      </c>
      <c r="T12" s="700"/>
    </row>
    <row r="13" spans="1:21" ht="13.5" thickBot="1">
      <c r="A13" s="1231">
        <f>+A12+1</f>
        <v>3</v>
      </c>
      <c r="C13" s="247" t="str">
        <f>"   ROE with additional "&amp;F12&amp;" basis point incentive"</f>
        <v xml:space="preserve">   ROE with additional 0 basis point incentive</v>
      </c>
      <c r="D13" s="1283"/>
      <c r="E13" s="1283"/>
      <c r="F13" s="1295">
        <f>IF((F11+(F12/10000)&gt;0.1245),"ERROR",F11+(F12/10000))</f>
        <v>0.105</v>
      </c>
      <c r="G13" s="1296" t="s">
        <v>894</v>
      </c>
      <c r="I13" s="1297"/>
      <c r="J13" s="1297"/>
      <c r="K13" s="1297"/>
      <c r="Q13" s="1287"/>
      <c r="R13" s="1480">
        <f>+M17</f>
        <v>2018</v>
      </c>
      <c r="S13" s="1294" t="s">
        <v>128</v>
      </c>
      <c r="T13" s="700"/>
      <c r="U13" s="1106"/>
    </row>
    <row r="14" spans="1:21">
      <c r="A14" s="1231">
        <f t="shared" ref="A14:A46" si="0">+A13+1</f>
        <v>4</v>
      </c>
      <c r="C14" s="1300" t="str">
        <f>"   Determine R  (cost of long term debt, cost of preferred stock and percent is from TCOS, lns "&amp;'PSO TCOS'!B235&amp;" through "&amp;'PSO TCOS'!B237&amp;")"</f>
        <v xml:space="preserve">   Determine R  (cost of long term debt, cost of preferred stock and percent is from TCOS, lns 141 through 143)</v>
      </c>
      <c r="E14" s="1283"/>
      <c r="F14" s="1295"/>
      <c r="G14" s="1295"/>
      <c r="H14" s="1283"/>
      <c r="I14" s="1297"/>
      <c r="J14" s="1297"/>
      <c r="K14" s="1297"/>
      <c r="L14" s="2488" t="s">
        <v>387</v>
      </c>
      <c r="M14" s="2489"/>
      <c r="N14" s="2489"/>
      <c r="O14" s="2489"/>
      <c r="P14" s="2490"/>
      <c r="Q14" s="1287"/>
      <c r="R14" s="1481">
        <f>+F11</f>
        <v>0.105</v>
      </c>
      <c r="S14" s="1294" t="str">
        <f>+C11</f>
        <v xml:space="preserve">   ROE w/o incentives  (TCOS, ln 143)</v>
      </c>
      <c r="T14" s="700"/>
      <c r="U14" s="1106"/>
    </row>
    <row r="15" spans="1:21" ht="16.5" customHeight="1">
      <c r="A15" s="1231">
        <f t="shared" si="0"/>
        <v>5</v>
      </c>
      <c r="C15" s="1287"/>
      <c r="D15" s="1302" t="s">
        <v>287</v>
      </c>
      <c r="E15" s="1302" t="s">
        <v>286</v>
      </c>
      <c r="F15" s="1303" t="s">
        <v>372</v>
      </c>
      <c r="G15" s="1303"/>
      <c r="H15" s="1283"/>
      <c r="I15" s="1297"/>
      <c r="J15" s="1297"/>
      <c r="K15" s="1297"/>
      <c r="L15" s="2491"/>
      <c r="M15" s="2492"/>
      <c r="N15" s="2492"/>
      <c r="O15" s="2492"/>
      <c r="P15" s="2493"/>
      <c r="Q15" s="1287"/>
      <c r="R15" s="1301">
        <v>0</v>
      </c>
      <c r="S15" s="1294" t="str">
        <f>+C12</f>
        <v xml:space="preserve">   Project ROE Incentive Adder (Enter as whole number)</v>
      </c>
      <c r="T15" s="700"/>
      <c r="U15" s="1106"/>
    </row>
    <row r="16" spans="1:21">
      <c r="A16" s="1231">
        <f t="shared" si="0"/>
        <v>6</v>
      </c>
      <c r="C16" s="1309" t="s">
        <v>375</v>
      </c>
      <c r="D16" s="1310">
        <f>'PSO TCOS'!G235</f>
        <v>0.51250191622016406</v>
      </c>
      <c r="E16" s="1311">
        <f>+'PSO TCOS'!J235</f>
        <v>4.6781018729819407E-2</v>
      </c>
      <c r="F16" s="1312">
        <f>E16*D16</f>
        <v>2.3975361741763832E-2</v>
      </c>
      <c r="G16" s="1313"/>
      <c r="H16" s="1283"/>
      <c r="I16" s="1297"/>
      <c r="J16" s="1297"/>
      <c r="K16" s="1297"/>
      <c r="L16" s="1319"/>
      <c r="M16" s="1287"/>
      <c r="N16" s="1287" t="s">
        <v>373</v>
      </c>
      <c r="O16" s="1287" t="s">
        <v>434</v>
      </c>
      <c r="P16" s="1321" t="s">
        <v>374</v>
      </c>
      <c r="Q16" s="1317"/>
      <c r="R16" s="1481">
        <f>+D16</f>
        <v>0.51250191622016406</v>
      </c>
      <c r="S16" s="1308" t="str">
        <f>+C16&amp;" "&amp;D15</f>
        <v>Long Term Debt %</v>
      </c>
      <c r="T16" s="700"/>
      <c r="U16" s="1106"/>
    </row>
    <row r="17" spans="1:21">
      <c r="A17" s="1231">
        <f t="shared" si="0"/>
        <v>7</v>
      </c>
      <c r="C17" s="1309" t="s">
        <v>376</v>
      </c>
      <c r="D17" s="1310">
        <f>'PSO TCOS'!G236</f>
        <v>0</v>
      </c>
      <c r="E17" s="1311">
        <f>+'PSO TCOS'!J236</f>
        <v>0</v>
      </c>
      <c r="F17" s="1312">
        <f>E17*D17</f>
        <v>0</v>
      </c>
      <c r="G17" s="1313"/>
      <c r="H17" s="1318"/>
      <c r="I17" s="1318"/>
      <c r="J17" s="1318"/>
      <c r="K17" s="1318"/>
      <c r="L17" s="1319" t="s">
        <v>427</v>
      </c>
      <c r="M17" s="1482">
        <v>2018</v>
      </c>
      <c r="N17" s="1106"/>
      <c r="O17" s="1106"/>
      <c r="P17" s="1294"/>
      <c r="Q17" s="1322"/>
      <c r="R17" s="1483">
        <f>+E16</f>
        <v>4.6781018729819407E-2</v>
      </c>
      <c r="S17" s="1308" t="str">
        <f>C16&amp;" "&amp;E15</f>
        <v>Long Term Debt Cost</v>
      </c>
      <c r="T17" s="700"/>
      <c r="U17" s="1106"/>
    </row>
    <row r="18" spans="1:21">
      <c r="A18" s="1231">
        <f t="shared" si="0"/>
        <v>8</v>
      </c>
      <c r="C18" s="1309" t="s">
        <v>368</v>
      </c>
      <c r="D18" s="1310">
        <f>'PSO TCOS'!G237</f>
        <v>0.48749808377983594</v>
      </c>
      <c r="E18" s="1311">
        <f>+F13</f>
        <v>0.105</v>
      </c>
      <c r="F18" s="1323">
        <f>E18*D18</f>
        <v>5.1187298796882774E-2</v>
      </c>
      <c r="G18" s="1324"/>
      <c r="H18" s="1318"/>
      <c r="I18" s="1318"/>
      <c r="J18" s="1318"/>
      <c r="K18" s="1318"/>
      <c r="L18" s="1484" t="s">
        <v>428</v>
      </c>
      <c r="M18" s="1485"/>
      <c r="N18" s="1486">
        <f>+R46</f>
        <v>7463959.3932195175</v>
      </c>
      <c r="O18" s="1486">
        <f>+R47</f>
        <v>7463959.3932195175</v>
      </c>
      <c r="P18" s="1487">
        <f>+O18-N18</f>
        <v>0</v>
      </c>
      <c r="Q18" s="1322"/>
      <c r="R18" s="1481">
        <f>+D17</f>
        <v>0</v>
      </c>
      <c r="S18" s="1308" t="str">
        <f>C17&amp;" "&amp;D15</f>
        <v>Preferred Stock %</v>
      </c>
      <c r="T18" s="700"/>
      <c r="U18" s="1106"/>
    </row>
    <row r="19" spans="1:21">
      <c r="A19" s="1231">
        <f t="shared" si="0"/>
        <v>9</v>
      </c>
      <c r="C19" s="247"/>
      <c r="D19" s="1283"/>
      <c r="E19" s="1326" t="s">
        <v>377</v>
      </c>
      <c r="F19" s="1312">
        <f>SUM(F16:F18)</f>
        <v>7.5162660538646606E-2</v>
      </c>
      <c r="G19" s="1313"/>
      <c r="H19" s="1327"/>
      <c r="I19" s="1318"/>
      <c r="J19" s="1318"/>
      <c r="K19" s="1318"/>
      <c r="L19" s="1488" t="s">
        <v>433</v>
      </c>
      <c r="M19" s="1489"/>
      <c r="N19" s="1486">
        <f>+R48</f>
        <v>5985111.4543428477</v>
      </c>
      <c r="O19" s="1486">
        <f>+R49</f>
        <v>5985111.4543428477</v>
      </c>
      <c r="P19" s="1487">
        <f>+O19-N19</f>
        <v>0</v>
      </c>
      <c r="Q19" s="1322"/>
      <c r="R19" s="1483">
        <f>+E17</f>
        <v>0</v>
      </c>
      <c r="S19" s="1308" t="str">
        <f>C17&amp;" "&amp;E15</f>
        <v>Preferred Stock Cost</v>
      </c>
      <c r="T19" s="700"/>
      <c r="U19" s="1106"/>
    </row>
    <row r="20" spans="1:21" ht="13.5" thickBot="1">
      <c r="A20" s="1231"/>
      <c r="D20" s="1333"/>
      <c r="E20" s="1333"/>
      <c r="F20" s="1318"/>
      <c r="G20" s="1318"/>
      <c r="H20" s="1318"/>
      <c r="I20" s="1318"/>
      <c r="J20" s="1318"/>
      <c r="K20" s="1318"/>
      <c r="L20" s="1490" t="str">
        <f>"True-up Adjustment For "&amp;M17&amp;""</f>
        <v>True-up Adjustment For 2018</v>
      </c>
      <c r="M20" s="1491"/>
      <c r="N20" s="1492">
        <f>+N19-N18</f>
        <v>-1478847.9388766699</v>
      </c>
      <c r="O20" s="1492">
        <f>+O19-O18</f>
        <v>-1478847.9388766699</v>
      </c>
      <c r="P20" s="1493">
        <f>+P19-P18</f>
        <v>0</v>
      </c>
      <c r="Q20" s="1335"/>
      <c r="R20" s="1481">
        <f>+D18</f>
        <v>0.48749808377983594</v>
      </c>
      <c r="S20" s="1332" t="str">
        <f>C18&amp;" "&amp;D15</f>
        <v>Common Stock %</v>
      </c>
      <c r="T20" s="700"/>
      <c r="U20" s="1106"/>
    </row>
    <row r="21" spans="1:21" ht="15.75">
      <c r="A21" s="1231"/>
      <c r="C21" s="1281" t="str">
        <f>"B.   Determine Return using 'R' with hypothetical "&amp;F12&amp;" basis point ROE increase for Identified Projects."</f>
        <v>B.   Determine Return using 'R' with hypothetical 0 basis point ROE increase for Identified Projects.</v>
      </c>
      <c r="D21" s="1333"/>
      <c r="E21" s="1333"/>
      <c r="F21" s="1318"/>
      <c r="G21" s="1318"/>
      <c r="H21" s="1318"/>
      <c r="I21" s="1283"/>
      <c r="J21" s="1283"/>
      <c r="K21" s="1283"/>
      <c r="L21" s="1317"/>
      <c r="M21" s="1320"/>
      <c r="N21" s="1494"/>
      <c r="O21" s="1494"/>
      <c r="P21" s="1486"/>
      <c r="Q21" s="1335"/>
      <c r="R21" s="1340">
        <f>+E23</f>
        <v>459255420.5005275</v>
      </c>
      <c r="S21" s="1337" t="str">
        <f>C23</f>
        <v xml:space="preserve">   Rate Base  (TCOS, ln 63)</v>
      </c>
      <c r="T21" s="700"/>
      <c r="U21" s="1106"/>
    </row>
    <row r="22" spans="1:21">
      <c r="A22" s="1231"/>
      <c r="C22" s="1287"/>
      <c r="D22" s="1333"/>
      <c r="E22" s="1333"/>
      <c r="F22" s="1335"/>
      <c r="G22" s="1335"/>
      <c r="H22" s="1335"/>
      <c r="I22" s="1335"/>
      <c r="J22" s="1335"/>
      <c r="K22" s="1335"/>
      <c r="L22" s="1318"/>
      <c r="M22" s="1318"/>
      <c r="N22" s="1318"/>
      <c r="O22" s="1318"/>
      <c r="P22" s="1318"/>
      <c r="Q22" s="1335"/>
      <c r="R22" s="1339">
        <f>+F30</f>
        <v>0.2533709999999999</v>
      </c>
      <c r="S22" s="1294" t="str">
        <f>+C30</f>
        <v xml:space="preserve">   Tax Rate  (TCOS, ln 99)</v>
      </c>
      <c r="T22" s="700"/>
      <c r="U22" s="1106"/>
    </row>
    <row r="23" spans="1:21">
      <c r="A23" s="1231">
        <f>+A19+1</f>
        <v>10</v>
      </c>
      <c r="C23" s="247" t="str">
        <f>"   Rate Base  (TCOS, ln "&amp;'PSO TCOS'!B113&amp;")"</f>
        <v xml:space="preserve">   Rate Base  (TCOS, ln 63)</v>
      </c>
      <c r="D23" s="1283"/>
      <c r="E23" s="1341">
        <f>+'PSO TCOS'!L113</f>
        <v>459255420.5005275</v>
      </c>
      <c r="F23" s="1342"/>
      <c r="G23" s="1342"/>
      <c r="H23" s="1335"/>
      <c r="I23" s="1335"/>
      <c r="J23" s="1335"/>
      <c r="K23" s="1335"/>
      <c r="L23" s="1077"/>
      <c r="M23" s="1335"/>
      <c r="N23" s="1335"/>
      <c r="O23" s="1335"/>
      <c r="P23" s="1335"/>
      <c r="Q23" s="1335"/>
      <c r="R23" s="1340">
        <f>+F33</f>
        <v>-435087.55511327944</v>
      </c>
      <c r="S23" s="1294" t="str">
        <f>+C33</f>
        <v xml:space="preserve">   ITC Adjustment  (TCOS, ln 108)</v>
      </c>
      <c r="T23" s="700"/>
      <c r="U23" s="1106"/>
    </row>
    <row r="24" spans="1:21">
      <c r="A24" s="1231">
        <f t="shared" si="0"/>
        <v>11</v>
      </c>
      <c r="C24" s="1287" t="s">
        <v>346</v>
      </c>
      <c r="D24" s="1285"/>
      <c r="E24" s="1343">
        <f>F19</f>
        <v>7.5162660538646606E-2</v>
      </c>
      <c r="F24" s="1335"/>
      <c r="G24" s="1335"/>
      <c r="H24" s="1335"/>
      <c r="I24" s="1335"/>
      <c r="J24" s="1335"/>
      <c r="K24" s="1335"/>
      <c r="M24" s="1335"/>
      <c r="N24" s="1335"/>
      <c r="O24" s="1335"/>
      <c r="P24" s="1342"/>
      <c r="Q24" s="1335"/>
      <c r="R24" s="1340">
        <f>+F34</f>
        <v>-4933248.5076256059</v>
      </c>
      <c r="S24" s="1294" t="str">
        <f>+C34</f>
        <v xml:space="preserve">   Excess DFIT Adjustment  (TCOS, ln 109)</v>
      </c>
      <c r="T24" s="700"/>
      <c r="U24" s="1106"/>
    </row>
    <row r="25" spans="1:21">
      <c r="A25" s="1231">
        <f t="shared" si="0"/>
        <v>12</v>
      </c>
      <c r="C25" s="1344" t="s">
        <v>378</v>
      </c>
      <c r="D25" s="1344"/>
      <c r="E25" s="1345">
        <f>E23*E24</f>
        <v>34518859.271614552</v>
      </c>
      <c r="F25" s="1335"/>
      <c r="G25" s="1335"/>
      <c r="H25" s="1335"/>
      <c r="I25" s="1335"/>
      <c r="J25" s="1335"/>
      <c r="K25" s="1335"/>
      <c r="L25" s="1322"/>
      <c r="M25" s="1322"/>
      <c r="N25" s="1322"/>
      <c r="O25" s="1322"/>
      <c r="P25" s="1335"/>
      <c r="Q25" s="1322"/>
      <c r="R25" s="1340">
        <f>+F35</f>
        <v>78753.972856666413</v>
      </c>
      <c r="S25" s="1294" t="str">
        <f>+C35</f>
        <v xml:space="preserve">   Tax Effect of Permanent and Flow Through Differences (TCOS, ln 110)</v>
      </c>
      <c r="T25" s="700"/>
      <c r="U25" s="1106"/>
    </row>
    <row r="26" spans="1:21">
      <c r="A26" s="1231"/>
      <c r="C26" s="1344"/>
      <c r="D26" s="1297"/>
      <c r="E26" s="1297"/>
      <c r="F26" s="1335"/>
      <c r="G26" s="1335"/>
      <c r="H26" s="1335"/>
      <c r="I26" s="1335"/>
      <c r="J26" s="1335"/>
      <c r="K26" s="1335"/>
      <c r="Q26" s="1322"/>
      <c r="R26" s="1340">
        <f>+F42</f>
        <v>83018102.281065762</v>
      </c>
      <c r="S26" s="1294" t="str">
        <f>+C42</f>
        <v xml:space="preserve">   Net Revenue Requirement  (TCOS, ln 117)</v>
      </c>
      <c r="T26" s="700"/>
      <c r="U26" s="1106"/>
    </row>
    <row r="27" spans="1:21" ht="15.75">
      <c r="A27" s="1231"/>
      <c r="C27" s="1281" t="str">
        <f>"C.   Determine Income Taxes using Return with hypothetical "&amp;F12&amp;" basis point ROE increase for Identified Projects."</f>
        <v>C.   Determine Income Taxes using Return with hypothetical 0 basis point ROE increase for Identified Projects.</v>
      </c>
      <c r="D27" s="1350"/>
      <c r="E27" s="1350"/>
      <c r="F27" s="1351"/>
      <c r="G27" s="1351"/>
      <c r="H27" s="1351"/>
      <c r="I27" s="1351"/>
      <c r="J27" s="1351"/>
      <c r="K27" s="1351"/>
      <c r="Q27" s="1354"/>
      <c r="R27" s="1340">
        <f>+F43</f>
        <v>34518859.271614552</v>
      </c>
      <c r="S27" s="1294" t="str">
        <f>+C43</f>
        <v xml:space="preserve">   Return  (TCOS, ln 112)</v>
      </c>
      <c r="T27" s="700"/>
      <c r="U27" s="1106"/>
    </row>
    <row r="28" spans="1:21" ht="14.25" customHeight="1">
      <c r="A28" s="1231"/>
      <c r="C28" s="247"/>
      <c r="D28" s="1297"/>
      <c r="E28" s="1297"/>
      <c r="F28" s="1335"/>
      <c r="G28" s="1335"/>
      <c r="H28" s="1335"/>
      <c r="I28" s="1335"/>
      <c r="J28" s="1335"/>
      <c r="K28" s="1335"/>
      <c r="L28" s="1008"/>
      <c r="M28" s="1008"/>
      <c r="N28" s="1008"/>
      <c r="O28" s="1008"/>
      <c r="P28" s="1008"/>
      <c r="Q28" s="1322"/>
      <c r="R28" s="1340">
        <f>+F44</f>
        <v>2687949.8919944759</v>
      </c>
      <c r="S28" s="1294" t="str">
        <f>+C44</f>
        <v xml:space="preserve">   Income Taxes  (TCOS, ln 111)</v>
      </c>
      <c r="T28" s="700"/>
      <c r="U28" s="1290"/>
    </row>
    <row r="29" spans="1:21" ht="19.5" customHeight="1">
      <c r="A29" s="1231">
        <f>+A25+1</f>
        <v>13</v>
      </c>
      <c r="C29" s="1287" t="s">
        <v>379</v>
      </c>
      <c r="D29" s="1326"/>
      <c r="F29" s="1355">
        <f>E25</f>
        <v>34518859.271614552</v>
      </c>
      <c r="G29" s="1335"/>
      <c r="H29" s="1335"/>
      <c r="I29" s="1335"/>
      <c r="J29" s="1335"/>
      <c r="K29" s="1335"/>
      <c r="L29" s="1346" t="s">
        <v>129</v>
      </c>
      <c r="M29" s="1347" t="s">
        <v>441</v>
      </c>
      <c r="N29" s="1348"/>
      <c r="O29" s="1348"/>
      <c r="P29" s="1404"/>
      <c r="Q29" s="1335"/>
      <c r="R29" s="1340">
        <f>+F45</f>
        <v>0</v>
      </c>
      <c r="S29" s="1294" t="str">
        <f>+C45</f>
        <v xml:space="preserve">  Gross Margin Taxes  (TCOS, ln 116)</v>
      </c>
      <c r="T29" s="700"/>
      <c r="U29" s="1106"/>
    </row>
    <row r="30" spans="1:21" ht="18">
      <c r="A30" s="1231">
        <f t="shared" si="0"/>
        <v>14</v>
      </c>
      <c r="C30" s="247" t="str">
        <f>"   Tax Rate  (TCOS, ln "&amp;'PSO TCOS'!B168&amp;")"</f>
        <v xml:space="preserve">   Tax Rate  (TCOS, ln 99)</v>
      </c>
      <c r="D30" s="1326"/>
      <c r="F30" s="1356">
        <f>+'PSO TCOS'!G168</f>
        <v>0.2533709999999999</v>
      </c>
      <c r="G30" s="1335"/>
      <c r="H30" s="1335"/>
      <c r="I30" s="1335"/>
      <c r="J30" s="1335"/>
      <c r="K30" s="1335"/>
      <c r="L30" s="1322"/>
      <c r="M30" s="1352" t="s">
        <v>429</v>
      </c>
      <c r="N30" s="1353"/>
      <c r="O30" s="1353"/>
      <c r="P30" s="1404"/>
      <c r="Q30" s="1335"/>
      <c r="R30" s="1340">
        <f>+F55</f>
        <v>18733043.911233526</v>
      </c>
      <c r="S30" s="1294" t="str">
        <f>+C55</f>
        <v xml:space="preserve">   Less: Depreciation  (TCOS, ln 86)</v>
      </c>
      <c r="T30" s="700"/>
      <c r="U30" s="1106"/>
    </row>
    <row r="31" spans="1:21">
      <c r="A31" s="1231">
        <f t="shared" si="0"/>
        <v>15</v>
      </c>
      <c r="C31" s="1287" t="s">
        <v>201</v>
      </c>
      <c r="F31" s="1295">
        <f>IF(F16&gt;0,($F30/(1-$F30))*(1-$F16/$F19),0)</f>
        <v>0.23110647774032195</v>
      </c>
      <c r="L31" s="1008"/>
      <c r="M31" s="1008"/>
      <c r="N31" s="1008"/>
      <c r="O31" s="1008"/>
      <c r="P31" s="1008"/>
      <c r="R31" s="1339">
        <f>+F61</f>
        <v>0</v>
      </c>
      <c r="S31" s="1294" t="str">
        <f>+C61</f>
        <v xml:space="preserve">       Apportionment Factor to Texas (Worksheet K, ln 12)</v>
      </c>
      <c r="T31" s="700"/>
      <c r="U31" s="1106"/>
    </row>
    <row r="32" spans="1:21">
      <c r="A32" s="1231">
        <f t="shared" si="0"/>
        <v>16</v>
      </c>
      <c r="C32" s="1344" t="s">
        <v>202</v>
      </c>
      <c r="F32" s="1357">
        <f>F29*F31</f>
        <v>7977531.9818766946</v>
      </c>
      <c r="L32" s="1008"/>
      <c r="M32" s="1008"/>
      <c r="N32" s="1008"/>
      <c r="O32" s="1008"/>
      <c r="P32" s="1008"/>
      <c r="R32" s="1340">
        <f>+F71</f>
        <v>620656166.35159492</v>
      </c>
      <c r="S32" s="1294" t="str">
        <f>+C71</f>
        <v xml:space="preserve">   Net Transmission Plant  (TCOS, ln 37)</v>
      </c>
      <c r="T32" s="700"/>
      <c r="U32" s="1360"/>
    </row>
    <row r="33" spans="1:21" ht="15">
      <c r="A33" s="1231">
        <f t="shared" si="0"/>
        <v>17</v>
      </c>
      <c r="C33" s="247" t="str">
        <f>"   ITC Adjustment  (TCOS, ln "&amp;'PSO TCOS'!B178&amp;")"</f>
        <v xml:space="preserve">   ITC Adjustment  (TCOS, ln 108)</v>
      </c>
      <c r="D33" s="873"/>
      <c r="F33" s="1335">
        <f>+'PSO TCOS'!L178</f>
        <v>-435087.55511327944</v>
      </c>
      <c r="G33" s="873"/>
      <c r="H33" s="873"/>
      <c r="I33" s="873"/>
      <c r="J33" s="873"/>
      <c r="K33" s="873"/>
      <c r="L33" s="1008"/>
      <c r="M33" s="1008"/>
      <c r="N33" s="1008"/>
      <c r="O33" s="1008"/>
      <c r="P33" s="1008"/>
      <c r="Q33" s="873"/>
      <c r="R33" s="1339">
        <f>+F77</f>
        <v>0.10357596017730604</v>
      </c>
      <c r="S33" s="1495" t="str">
        <f>+C77</f>
        <v xml:space="preserve">   FCR less Depreciation  (TCOS, ln 10)</v>
      </c>
      <c r="T33" s="700"/>
      <c r="U33" s="1290"/>
    </row>
    <row r="34" spans="1:21" ht="15">
      <c r="A34" s="1231">
        <f t="shared" si="0"/>
        <v>18</v>
      </c>
      <c r="C34" s="247" t="str">
        <f>"   Excess DFIT Adjustment  (TCOS, ln "&amp;'PSO TCOS'!B179&amp;")"</f>
        <v xml:space="preserve">   Excess DFIT Adjustment  (TCOS, ln 109)</v>
      </c>
      <c r="D34" s="873"/>
      <c r="F34" s="1335">
        <f>+'PSO TCOS'!L179</f>
        <v>-4933248.5076256059</v>
      </c>
      <c r="G34" s="873"/>
      <c r="H34" s="873"/>
      <c r="I34" s="873"/>
      <c r="J34" s="873"/>
      <c r="K34" s="873"/>
      <c r="L34" s="1008"/>
      <c r="M34" s="1008"/>
      <c r="N34" s="1008"/>
      <c r="O34" s="1008"/>
      <c r="P34" s="1008"/>
      <c r="Q34" s="873"/>
      <c r="R34" s="1496">
        <f>+F81</f>
        <v>875615136.5</v>
      </c>
      <c r="S34" s="1497" t="str">
        <f>+C81</f>
        <v>Transmission Plant Average Balance for 2018 (WS A-1 Ln 14 Col (d))</v>
      </c>
      <c r="T34" s="700"/>
      <c r="U34" s="1290"/>
    </row>
    <row r="35" spans="1:21" ht="15.75" thickBot="1">
      <c r="A35" s="1231">
        <f t="shared" si="0"/>
        <v>19</v>
      </c>
      <c r="C35" s="247" t="str">
        <f>"   Tax Effect of Permanent and Flow Through Differences (TCOS, ln "&amp;'PSO TCOS'!B180&amp;")"</f>
        <v xml:space="preserve">   Tax Effect of Permanent and Flow Through Differences (TCOS, ln 110)</v>
      </c>
      <c r="D35" s="873"/>
      <c r="F35" s="1335">
        <f>+'PSO TCOS'!L180</f>
        <v>78753.972856666413</v>
      </c>
      <c r="G35" s="873"/>
      <c r="H35" s="873"/>
      <c r="I35" s="873"/>
      <c r="J35" s="873"/>
      <c r="K35" s="873"/>
      <c r="L35" s="1008"/>
      <c r="M35" s="1008"/>
      <c r="N35" s="1008"/>
      <c r="O35" s="1008"/>
      <c r="P35" s="1008"/>
      <c r="Q35" s="873"/>
      <c r="R35" s="1498">
        <f>+F82</f>
        <v>20436310</v>
      </c>
      <c r="S35" s="1499" t="str">
        <f>+C82</f>
        <v>Annual Depreciation Expense  (TCOS, ln 86)</v>
      </c>
      <c r="T35" s="700"/>
      <c r="U35" s="1290"/>
    </row>
    <row r="36" spans="1:21" ht="15">
      <c r="A36" s="1231">
        <f t="shared" si="0"/>
        <v>20</v>
      </c>
      <c r="C36" s="1344" t="s">
        <v>380</v>
      </c>
      <c r="D36" s="873"/>
      <c r="F36" s="1363">
        <f>+SUM(F32:F35)</f>
        <v>2687949.8919944759</v>
      </c>
      <c r="G36" s="873"/>
      <c r="H36" s="873"/>
      <c r="I36" s="873"/>
      <c r="J36" s="873"/>
      <c r="K36" s="873"/>
      <c r="L36" s="1334"/>
      <c r="M36" s="1334"/>
      <c r="N36" s="1334"/>
      <c r="O36" s="1334"/>
      <c r="P36" s="1334"/>
      <c r="Q36" s="873"/>
      <c r="R36" s="1500"/>
      <c r="S36" s="1106"/>
      <c r="T36" s="700"/>
    </row>
    <row r="37" spans="1:21" ht="12.75" customHeight="1">
      <c r="A37" s="1231"/>
      <c r="C37" s="835"/>
      <c r="D37" s="873"/>
      <c r="E37" s="873"/>
      <c r="F37" s="873"/>
      <c r="G37" s="873"/>
      <c r="H37" s="873"/>
      <c r="I37" s="873"/>
      <c r="J37" s="873"/>
      <c r="K37" s="873"/>
      <c r="L37" s="1334"/>
      <c r="M37" s="1334"/>
      <c r="N37" s="1334"/>
      <c r="O37" s="1334"/>
      <c r="P37" s="1334"/>
      <c r="Q37" s="873"/>
      <c r="R37" s="1023"/>
      <c r="T37" s="700"/>
    </row>
    <row r="38" spans="1:21" ht="18.75">
      <c r="A38" s="1231"/>
      <c r="B38" s="1279" t="s">
        <v>313</v>
      </c>
      <c r="C38" s="1277" t="str">
        <f>"Calculate Net Plant Carrying Charge Rate (Fixed Charge Rate or FCR) with hypothetical "&amp;F12&amp;" basis point"</f>
        <v>Calculate Net Plant Carrying Charge Rate (Fixed Charge Rate or FCR) with hypothetical 0 basis point</v>
      </c>
      <c r="D38" s="873"/>
      <c r="E38" s="873"/>
      <c r="F38" s="873"/>
      <c r="G38" s="873"/>
      <c r="H38" s="873"/>
      <c r="I38" s="873"/>
      <c r="J38" s="873"/>
      <c r="K38" s="873"/>
      <c r="L38" s="1334"/>
      <c r="M38" s="1334"/>
      <c r="N38" s="1334"/>
      <c r="O38" s="1334"/>
      <c r="P38" s="1334"/>
      <c r="Q38" s="873"/>
      <c r="R38" s="1023"/>
      <c r="T38" s="700"/>
    </row>
    <row r="39" spans="1:21" ht="18.75" customHeight="1">
      <c r="A39" s="1231"/>
      <c r="B39" s="1279"/>
      <c r="C39" s="1277" t="str">
        <f>"ROE increase."</f>
        <v>ROE increase.</v>
      </c>
      <c r="D39" s="873"/>
      <c r="E39" s="873"/>
      <c r="F39" s="873"/>
      <c r="G39" s="873"/>
      <c r="H39" s="873"/>
      <c r="I39" s="873"/>
      <c r="J39" s="873"/>
      <c r="K39" s="873"/>
      <c r="L39" s="873"/>
      <c r="M39" s="873"/>
      <c r="N39" s="873"/>
      <c r="O39" s="873"/>
      <c r="P39" s="804"/>
      <c r="Q39" s="873"/>
      <c r="R39" s="1077" t="s">
        <v>169</v>
      </c>
      <c r="S39" s="1276" t="s">
        <v>436</v>
      </c>
    </row>
    <row r="40" spans="1:21" ht="12.75" customHeight="1">
      <c r="A40" s="1231"/>
      <c r="C40" s="835"/>
      <c r="D40" s="873"/>
      <c r="E40" s="873"/>
      <c r="F40" s="873"/>
      <c r="G40" s="873"/>
      <c r="H40" s="873"/>
      <c r="I40" s="873"/>
      <c r="J40" s="873"/>
      <c r="K40" s="873"/>
      <c r="P40" s="804"/>
      <c r="Q40" s="873"/>
      <c r="R40" s="1023"/>
    </row>
    <row r="41" spans="1:21" ht="15.75">
      <c r="A41" s="1231"/>
      <c r="C41" s="1281" t="s">
        <v>151</v>
      </c>
      <c r="D41" s="873"/>
      <c r="E41" s="873"/>
      <c r="F41" s="659"/>
      <c r="G41" s="659"/>
      <c r="H41" s="873"/>
      <c r="I41" s="873"/>
      <c r="J41" s="873"/>
      <c r="K41" s="873"/>
      <c r="P41" s="804"/>
      <c r="Q41" s="873"/>
      <c r="R41" s="1276" t="s">
        <v>170</v>
      </c>
      <c r="S41" s="1276" t="s">
        <v>436</v>
      </c>
    </row>
    <row r="42" spans="1:21" ht="12.75" customHeight="1">
      <c r="A42" s="1231">
        <f>+A36+1</f>
        <v>21</v>
      </c>
      <c r="C42" s="247" t="str">
        <f>"   Net Revenue Requirement  (TCOS, ln "&amp;'PSO TCOS'!B193&amp;")"</f>
        <v xml:space="preserve">   Net Revenue Requirement  (TCOS, ln 117)</v>
      </c>
      <c r="D42" s="1364"/>
      <c r="E42" s="1364"/>
      <c r="F42" s="1335">
        <f>+'PSO TCOS'!L193</f>
        <v>83018102.281065762</v>
      </c>
      <c r="G42" s="1335"/>
      <c r="H42" s="1364"/>
      <c r="I42" s="1364"/>
      <c r="J42" s="1364"/>
      <c r="K42" s="1364"/>
      <c r="L42" s="1364"/>
      <c r="M42" s="1364"/>
      <c r="N42" s="1364"/>
      <c r="O42" s="1364"/>
      <c r="P42" s="1335"/>
      <c r="Q42" s="1364"/>
      <c r="R42" s="1276"/>
      <c r="S42" s="1077"/>
    </row>
    <row r="43" spans="1:21">
      <c r="A43" s="1231">
        <f t="shared" si="0"/>
        <v>22</v>
      </c>
      <c r="C43" s="247" t="str">
        <f>"   Return  (TCOS, ln "&amp;'PSO TCOS'!B184&amp;")"</f>
        <v xml:space="preserve">   Return  (TCOS, ln 112)</v>
      </c>
      <c r="D43" s="1364"/>
      <c r="E43" s="1364"/>
      <c r="F43" s="1322">
        <f>+'PSO TCOS'!L184</f>
        <v>34518859.271614552</v>
      </c>
      <c r="G43" s="1322"/>
      <c r="H43" s="1367"/>
      <c r="I43" s="1367"/>
      <c r="J43" s="1367"/>
      <c r="K43" s="1367"/>
      <c r="L43" s="1367"/>
      <c r="M43" s="1367"/>
      <c r="N43" s="1367"/>
      <c r="O43" s="1367"/>
      <c r="P43" s="1335"/>
      <c r="Q43" s="1367"/>
      <c r="R43" s="1276"/>
      <c r="S43" s="1077"/>
    </row>
    <row r="44" spans="1:21">
      <c r="A44" s="1231">
        <f t="shared" si="0"/>
        <v>23</v>
      </c>
      <c r="C44" s="247" t="str">
        <f>"   Income Taxes  (TCOS, ln "&amp;'PSO TCOS'!B182&amp;")"</f>
        <v xml:space="preserve">   Income Taxes  (TCOS, ln 111)</v>
      </c>
      <c r="D44" s="1364"/>
      <c r="E44" s="1364"/>
      <c r="F44" s="1335">
        <f>+'PSO TCOS'!L182</f>
        <v>2687949.8919944759</v>
      </c>
      <c r="G44" s="1335"/>
      <c r="H44" s="1364"/>
      <c r="I44" s="1364"/>
      <c r="J44" s="1364"/>
      <c r="K44" s="1364"/>
      <c r="L44" s="1370"/>
      <c r="M44" s="1370"/>
      <c r="N44" s="1370"/>
      <c r="O44" s="1370"/>
      <c r="P44" s="1364"/>
      <c r="Q44" s="1370"/>
      <c r="R44" s="1282" t="s">
        <v>166</v>
      </c>
      <c r="S44" s="1276" t="s">
        <v>70</v>
      </c>
    </row>
    <row r="45" spans="1:21" ht="13.5" thickBot="1">
      <c r="A45" s="1231">
        <f t="shared" si="0"/>
        <v>24</v>
      </c>
      <c r="C45" s="247" t="str">
        <f>"  Gross Margin Taxes  (TCOS, ln "&amp;'PSO TCOS'!B191&amp;")"</f>
        <v xml:space="preserve">  Gross Margin Taxes  (TCOS, ln 116)</v>
      </c>
      <c r="D45" s="1364"/>
      <c r="E45" s="1364"/>
      <c r="F45" s="1372">
        <f>+'PSO TCOS'!L191</f>
        <v>0</v>
      </c>
      <c r="G45" s="1335"/>
      <c r="H45" s="1364"/>
      <c r="I45" s="1364"/>
      <c r="J45" s="1364"/>
      <c r="K45" s="1364"/>
      <c r="L45" s="1370"/>
      <c r="M45" s="1370"/>
      <c r="N45" s="1370"/>
      <c r="O45" s="1370"/>
      <c r="P45" s="1364"/>
      <c r="Q45" s="1370"/>
      <c r="R45" s="1276" t="s">
        <v>437</v>
      </c>
    </row>
    <row r="46" spans="1:21">
      <c r="A46" s="1231">
        <f t="shared" si="0"/>
        <v>25</v>
      </c>
      <c r="C46" s="1106" t="s">
        <v>23</v>
      </c>
      <c r="D46" s="1364"/>
      <c r="E46" s="1364"/>
      <c r="F46" s="1322">
        <f>F42-F43-F44-F45</f>
        <v>45811293.117456734</v>
      </c>
      <c r="G46" s="1322"/>
      <c r="H46" s="1320"/>
      <c r="I46" s="1364"/>
      <c r="J46" s="1364"/>
      <c r="K46" s="1364"/>
      <c r="L46" s="1320"/>
      <c r="M46" s="1320"/>
      <c r="N46" s="1320"/>
      <c r="O46" s="1320"/>
      <c r="P46" s="1320"/>
      <c r="Q46" s="1320"/>
      <c r="R46" s="1371">
        <v>7463959.3932195175</v>
      </c>
      <c r="S46" s="1023" t="str">
        <f>+L18&amp;" "&amp;N16</f>
        <v>∑ True Up Year Projected  WS-F   Rev Require</v>
      </c>
    </row>
    <row r="47" spans="1:21">
      <c r="A47" s="1231"/>
      <c r="C47" s="247"/>
      <c r="D47" s="1364"/>
      <c r="E47" s="1364"/>
      <c r="F47" s="1335"/>
      <c r="G47" s="1335"/>
      <c r="H47" s="1375"/>
      <c r="I47" s="1376"/>
      <c r="J47" s="1376"/>
      <c r="K47" s="1376"/>
      <c r="L47" s="1376"/>
      <c r="M47" s="1376"/>
      <c r="N47" s="1376"/>
      <c r="O47" s="1376"/>
      <c r="P47" s="1376"/>
      <c r="Q47" s="1376"/>
      <c r="R47" s="1373">
        <v>7463959.3932195175</v>
      </c>
      <c r="S47" s="1023" t="str">
        <f>+L18&amp;" "&amp;O16</f>
        <v>∑ True Up Year Projected  WS-F    With Incentives</v>
      </c>
    </row>
    <row r="48" spans="1:21" ht="15.75">
      <c r="A48" s="1231"/>
      <c r="C48" s="1281" t="str">
        <f>"B.   Determine Net Revenue Requirement with hypothetical "&amp;F12&amp;" basis point increase in ROE."</f>
        <v>B.   Determine Net Revenue Requirement with hypothetical 0 basis point increase in ROE.</v>
      </c>
      <c r="D48" s="1287"/>
      <c r="E48" s="1287"/>
      <c r="F48" s="1335"/>
      <c r="G48" s="1335"/>
      <c r="H48" s="1375"/>
      <c r="I48" s="1376"/>
      <c r="J48" s="1376"/>
      <c r="K48" s="1376"/>
      <c r="L48" s="1376"/>
      <c r="M48" s="1376"/>
      <c r="N48" s="1376"/>
      <c r="O48" s="1376"/>
      <c r="P48" s="1376"/>
      <c r="Q48" s="1376"/>
      <c r="R48" s="1501">
        <v>5985111.4543428477</v>
      </c>
      <c r="S48" s="1023" t="str">
        <f>+L19&amp;" "&amp;N16</f>
        <v>∑ True-Up Year True-Up WS-G   Rev Require</v>
      </c>
    </row>
    <row r="49" spans="1:19" ht="13.5" thickBot="1">
      <c r="A49" s="1231">
        <f>+A46+1</f>
        <v>26</v>
      </c>
      <c r="C49" s="247" t="str">
        <f>C46</f>
        <v xml:space="preserve">   Net Revenue Requirement, Less Return and Taxes</v>
      </c>
      <c r="D49" s="1287"/>
      <c r="E49" s="1287"/>
      <c r="F49" s="1335">
        <f>F46</f>
        <v>45811293.117456734</v>
      </c>
      <c r="G49" s="1335"/>
      <c r="H49" s="1375"/>
      <c r="I49" s="1376"/>
      <c r="J49" s="1376"/>
      <c r="K49" s="1376"/>
      <c r="L49" s="1376"/>
      <c r="M49" s="1376"/>
      <c r="N49" s="1376"/>
      <c r="O49" s="1376"/>
      <c r="P49" s="1376"/>
      <c r="Q49" s="1376"/>
      <c r="R49" s="1374">
        <v>5985111.4543428477</v>
      </c>
      <c r="S49" s="1023" t="str">
        <f>+L19&amp;" "&amp;O16</f>
        <v>∑ True-Up Year True-Up WS-G    With Incentives</v>
      </c>
    </row>
    <row r="50" spans="1:19">
      <c r="A50" s="1231">
        <f t="shared" ref="A50:A56" si="1">+A49+1</f>
        <v>27</v>
      </c>
      <c r="C50" s="1287" t="s">
        <v>388</v>
      </c>
      <c r="D50" s="1378"/>
      <c r="E50" s="1106"/>
      <c r="F50" s="1379">
        <f>E25</f>
        <v>34518859.271614552</v>
      </c>
      <c r="G50" s="1335"/>
      <c r="H50" s="1364"/>
      <c r="I50" s="1364"/>
      <c r="J50" s="1364"/>
      <c r="K50" s="1364"/>
      <c r="L50" s="1364"/>
      <c r="M50" s="1364"/>
      <c r="N50" s="1364"/>
      <c r="O50" s="1364"/>
      <c r="P50" s="1377"/>
      <c r="Q50" s="1364"/>
    </row>
    <row r="51" spans="1:19">
      <c r="A51" s="1231">
        <f t="shared" si="1"/>
        <v>28</v>
      </c>
      <c r="C51" s="247" t="s">
        <v>381</v>
      </c>
      <c r="D51" s="1364"/>
      <c r="E51" s="1364"/>
      <c r="F51" s="1380">
        <f>F36</f>
        <v>2687949.8919944759</v>
      </c>
      <c r="G51" s="1379"/>
      <c r="H51" s="1106"/>
      <c r="I51" s="1107"/>
      <c r="J51" s="1107"/>
      <c r="K51" s="1107"/>
      <c r="L51" s="1106"/>
      <c r="M51" s="1106"/>
      <c r="N51" s="1106"/>
      <c r="O51" s="1106"/>
      <c r="P51" s="1106"/>
    </row>
    <row r="52" spans="1:19" ht="12.75" customHeight="1">
      <c r="A52" s="1231">
        <f t="shared" si="1"/>
        <v>29</v>
      </c>
      <c r="C52" s="1106" t="str">
        <f>"   Net Revenue Requirement, with "&amp;F12&amp;" Basis Point ROE increase"</f>
        <v xml:space="preserve">   Net Revenue Requirement, with 0 Basis Point ROE increase</v>
      </c>
      <c r="F52" s="1357">
        <f>SUM(F49:F51)</f>
        <v>83018102.281065762</v>
      </c>
      <c r="G52" s="1381"/>
    </row>
    <row r="53" spans="1:19">
      <c r="A53" s="1231">
        <f t="shared" si="1"/>
        <v>30</v>
      </c>
      <c r="C53" s="1360" t="str">
        <f>"   Gross Margin Tax with "&amp;F87&amp;" Basis Point ROE Increase (II C. below)"</f>
        <v xml:space="preserve">   Gross Margin Tax with  Basis Point ROE Increase (II C. below)</v>
      </c>
      <c r="D53" s="1198"/>
      <c r="E53" s="1198"/>
      <c r="F53" s="1382">
        <f>+F68</f>
        <v>0</v>
      </c>
      <c r="G53" s="1357"/>
    </row>
    <row r="54" spans="1:19">
      <c r="A54" s="1231">
        <f t="shared" si="1"/>
        <v>31</v>
      </c>
      <c r="C54" s="1106" t="s">
        <v>24</v>
      </c>
      <c r="F54" s="1379">
        <f>+F52+F53</f>
        <v>83018102.281065762</v>
      </c>
      <c r="G54" s="1379"/>
    </row>
    <row r="55" spans="1:19">
      <c r="A55" s="1231">
        <f t="shared" si="1"/>
        <v>32</v>
      </c>
      <c r="C55" s="247" t="str">
        <f>"   Less: Depreciation  (TCOS, ln "&amp;'PSO TCOS'!B153&amp;")"</f>
        <v xml:space="preserve">   Less: Depreciation  (TCOS, ln 86)</v>
      </c>
      <c r="F55" s="1383">
        <f>+'PSO TCOS'!L153</f>
        <v>18733043.911233526</v>
      </c>
      <c r="G55" s="1379"/>
    </row>
    <row r="56" spans="1:19">
      <c r="A56" s="1231">
        <f t="shared" si="1"/>
        <v>33</v>
      </c>
      <c r="C56" s="1106" t="str">
        <f>"   Net Rev. Req, w/"&amp;F12&amp;" Basis Point ROE increase, less Depreciation"</f>
        <v xml:space="preserve">   Net Rev. Req, w/0 Basis Point ROE increase, less Depreciation</v>
      </c>
      <c r="F56" s="1357">
        <f>F54-F55</f>
        <v>64285058.369832233</v>
      </c>
      <c r="G56" s="1383"/>
    </row>
    <row r="57" spans="1:19">
      <c r="A57" s="1231"/>
      <c r="G57" s="1357"/>
    </row>
    <row r="58" spans="1:19" ht="15.75">
      <c r="A58" s="1231"/>
      <c r="C58" s="1281" t="str">
        <f>"C.   Determine Gross Margin Tax with hypothetical "&amp;F12&amp;" basis point increase in ROE."</f>
        <v>C.   Determine Gross Margin Tax with hypothetical 0 basis point increase in ROE.</v>
      </c>
      <c r="D58" s="1198"/>
      <c r="E58" s="1198"/>
      <c r="F58" s="1357"/>
    </row>
    <row r="59" spans="1:19">
      <c r="A59" s="1231">
        <f>+A56+1</f>
        <v>34</v>
      </c>
      <c r="C59" s="1360" t="str">
        <f>"   Net Revenue Requirement before Gross Margin Taxes, with "&amp;F12&amp;" "</f>
        <v xml:space="preserve">   Net Revenue Requirement before Gross Margin Taxes, with 0 </v>
      </c>
      <c r="D59" s="1198"/>
      <c r="E59" s="1198"/>
      <c r="F59" s="1357">
        <f>+F52</f>
        <v>83018102.281065762</v>
      </c>
      <c r="G59" s="1357"/>
    </row>
    <row r="60" spans="1:19">
      <c r="A60" s="1231">
        <f t="shared" ref="A60:A68" si="2">+A59+1</f>
        <v>35</v>
      </c>
      <c r="C60" s="1360" t="s">
        <v>25</v>
      </c>
      <c r="D60" s="1198"/>
      <c r="E60" s="1198"/>
      <c r="F60" s="1357"/>
      <c r="G60" s="1357"/>
    </row>
    <row r="61" spans="1:19">
      <c r="A61" s="1231">
        <f t="shared" si="2"/>
        <v>36</v>
      </c>
      <c r="C61" s="1106" t="str">
        <f>"       Apportionment Factor to Texas (Worksheet K, ln "&amp;'PSO WS K State Taxes'!A53&amp;")"</f>
        <v xml:space="preserve">       Apportionment Factor to Texas (Worksheet K, ln 12)</v>
      </c>
      <c r="F61" s="1384">
        <f>+'PSO WS K State Taxes'!E53</f>
        <v>0</v>
      </c>
      <c r="G61" s="1357"/>
    </row>
    <row r="62" spans="1:19">
      <c r="A62" s="1231">
        <f t="shared" si="2"/>
        <v>37</v>
      </c>
      <c r="C62" s="1106" t="s">
        <v>26</v>
      </c>
      <c r="F62" s="1357">
        <f>+F61*F59</f>
        <v>0</v>
      </c>
      <c r="G62" s="1356"/>
    </row>
    <row r="63" spans="1:19">
      <c r="A63" s="1231">
        <f t="shared" si="2"/>
        <v>38</v>
      </c>
      <c r="C63" s="1106" t="s">
        <v>1087</v>
      </c>
      <c r="F63" s="1385">
        <v>0.22</v>
      </c>
      <c r="G63" s="1357"/>
    </row>
    <row r="64" spans="1:19">
      <c r="A64" s="1231">
        <f t="shared" si="2"/>
        <v>39</v>
      </c>
      <c r="C64" s="1106" t="s">
        <v>27</v>
      </c>
      <c r="F64" s="1357">
        <f>+F62*F63</f>
        <v>0</v>
      </c>
      <c r="G64" s="1386"/>
    </row>
    <row r="65" spans="1:8">
      <c r="A65" s="1231">
        <f t="shared" si="2"/>
        <v>40</v>
      </c>
      <c r="C65" s="1106" t="s">
        <v>28</v>
      </c>
      <c r="F65" s="1385">
        <v>0.01</v>
      </c>
      <c r="G65" s="1357"/>
    </row>
    <row r="66" spans="1:8">
      <c r="A66" s="1231">
        <f t="shared" si="2"/>
        <v>41</v>
      </c>
      <c r="C66" s="1106" t="s">
        <v>29</v>
      </c>
      <c r="F66" s="1357">
        <f>+F64*F65</f>
        <v>0</v>
      </c>
      <c r="G66" s="1386"/>
    </row>
    <row r="67" spans="1:8">
      <c r="A67" s="1231">
        <f t="shared" si="2"/>
        <v>42</v>
      </c>
      <c r="C67" s="1106" t="s">
        <v>30</v>
      </c>
      <c r="F67" s="1387">
        <f>+ROUND((F66*F63*F61)/(1-F65)*F65,0)</f>
        <v>0</v>
      </c>
      <c r="G67" s="1357"/>
    </row>
    <row r="68" spans="1:8">
      <c r="A68" s="1231">
        <f t="shared" si="2"/>
        <v>43</v>
      </c>
      <c r="C68" s="1106" t="s">
        <v>31</v>
      </c>
      <c r="F68" s="1357">
        <f>+F66+F67</f>
        <v>0</v>
      </c>
      <c r="G68" s="1222"/>
    </row>
    <row r="69" spans="1:8">
      <c r="A69" s="1231"/>
      <c r="G69" s="1357"/>
    </row>
    <row r="70" spans="1:8" ht="15.75">
      <c r="A70" s="1231"/>
      <c r="C70" s="1281" t="str">
        <f>"D.   Determine FCR with hypothetical "&amp;F12&amp;" basis point ROE increase."</f>
        <v>D.   Determine FCR with hypothetical 0 basis point ROE increase.</v>
      </c>
    </row>
    <row r="71" spans="1:8">
      <c r="A71" s="1231">
        <f>+A68+1</f>
        <v>44</v>
      </c>
      <c r="C71" s="247" t="str">
        <f>"   Net Transmission Plant  (TCOS, ln "&amp;'PSO TCOS'!B79&amp;")"</f>
        <v xml:space="preserve">   Net Transmission Plant  (TCOS, ln 37)</v>
      </c>
      <c r="F71" s="1357">
        <f>+'PSO TCOS'!L79</f>
        <v>620656166.35159492</v>
      </c>
    </row>
    <row r="72" spans="1:8" ht="15">
      <c r="A72" s="1231">
        <f>+A71+1</f>
        <v>45</v>
      </c>
      <c r="C72" s="1106" t="str">
        <f>"   Net Revenue Requirement, with "&amp;F12&amp;" Basis Point ROE increase"</f>
        <v xml:space="preserve">   Net Revenue Requirement, with 0 Basis Point ROE increase</v>
      </c>
      <c r="F72" s="1388">
        <f>+F54</f>
        <v>83018102.281065762</v>
      </c>
      <c r="G72" s="1357"/>
    </row>
    <row r="73" spans="1:8" ht="15">
      <c r="A73" s="1231">
        <f>+A72+1</f>
        <v>46</v>
      </c>
      <c r="C73" s="1106" t="str">
        <f>"   FCR with "&amp;F12&amp;" Basis Point increase in ROE"</f>
        <v xml:space="preserve">   FCR with 0 Basis Point increase in ROE</v>
      </c>
      <c r="F73" s="1298">
        <f>IF(F71=0,0,F72/F71)</f>
        <v>0.13375860384836152</v>
      </c>
      <c r="G73" s="1388"/>
    </row>
    <row r="74" spans="1:8">
      <c r="A74" s="1231"/>
      <c r="G74" s="1298"/>
    </row>
    <row r="75" spans="1:8">
      <c r="A75" s="1231">
        <f>+A73+1</f>
        <v>47</v>
      </c>
      <c r="C75" s="1106" t="str">
        <f>"   Net Rev. Req, w / "&amp;F12&amp;" Basis Point ROE increase, less Dep."</f>
        <v xml:space="preserve">   Net Rev. Req, w / 0 Basis Point ROE increase, less Dep.</v>
      </c>
      <c r="F75" s="1357">
        <f>+F56</f>
        <v>64285058.369832233</v>
      </c>
      <c r="H75" s="1298"/>
    </row>
    <row r="76" spans="1:8">
      <c r="A76" s="1231">
        <f t="shared" ref="A76:A85" si="3">+A75+1</f>
        <v>48</v>
      </c>
      <c r="C76" s="1106" t="str">
        <f>"   FCR with "&amp;F12&amp;" Basis Point ROE increase, less Depreciation"</f>
        <v xml:space="preserve">   FCR with 0 Basis Point ROE increase, less Depreciation</v>
      </c>
      <c r="F76" s="1298">
        <f>IF(F71=0,0,F75/F71)</f>
        <v>0.10357596017730604</v>
      </c>
      <c r="G76" s="1357"/>
    </row>
    <row r="77" spans="1:8">
      <c r="A77" s="1231">
        <f t="shared" si="3"/>
        <v>49</v>
      </c>
      <c r="C77" s="247" t="str">
        <f>"   FCR less Depreciation  (TCOS, ln "&amp;'PSO TCOS'!B30&amp;")"</f>
        <v xml:space="preserve">   FCR less Depreciation  (TCOS, ln 10)</v>
      </c>
      <c r="F77" s="1389">
        <f>+'PSO TCOS'!L30</f>
        <v>0.10357596017730604</v>
      </c>
      <c r="G77" s="1298"/>
      <c r="H77" s="1357"/>
    </row>
    <row r="78" spans="1:8">
      <c r="A78" s="1231">
        <f t="shared" si="3"/>
        <v>50</v>
      </c>
      <c r="C78" s="1106" t="str">
        <f>"   Incremental FCR with "&amp;F12&amp;" Basis Point ROE increase, less Depreciation"</f>
        <v xml:space="preserve">   Incremental FCR with 0 Basis Point ROE increase, less Depreciation</v>
      </c>
      <c r="F78" s="1298">
        <f>F76-F77</f>
        <v>0</v>
      </c>
      <c r="G78" s="1389"/>
      <c r="H78" s="1390"/>
    </row>
    <row r="79" spans="1:8">
      <c r="A79" s="1231"/>
      <c r="C79" s="1106"/>
      <c r="F79" s="1298"/>
      <c r="G79" s="1298"/>
    </row>
    <row r="80" spans="1:8" ht="18.75">
      <c r="A80" s="1231"/>
      <c r="B80" s="1279" t="s">
        <v>314</v>
      </c>
      <c r="C80" s="1277" t="s">
        <v>382</v>
      </c>
      <c r="F80" s="1298"/>
      <c r="G80" s="1298"/>
    </row>
    <row r="81" spans="1:16" ht="12.75" customHeight="1">
      <c r="A81" s="1231">
        <f>+A78+1</f>
        <v>51</v>
      </c>
      <c r="C81" s="1106" t="str">
        <f>"Transmission Plant Average Balance for "&amp;'PSO TCOS'!$N$2&amp;" (WS A-1 Ln "&amp;'PSO WS A-1 - Plant'!A24&amp;" Col "&amp;'PSO WS A-1 - Plant'!E9&amp;")"</f>
        <v>Transmission Plant Average Balance for 2018 (WS A-1 Ln 14 Col (d))</v>
      </c>
      <c r="F81" s="1107">
        <f>+'PSO WS A-1 - Plant'!E24</f>
        <v>875615136.5</v>
      </c>
      <c r="G81" s="1052"/>
    </row>
    <row r="82" spans="1:16">
      <c r="A82" s="1231">
        <f t="shared" si="3"/>
        <v>52</v>
      </c>
      <c r="C82" s="247" t="str">
        <f>"Annual Depreciation Expense  (TCOS, ln "&amp;'PSO TCOS'!B153&amp;")"</f>
        <v>Annual Depreciation Expense  (TCOS, ln 86)</v>
      </c>
      <c r="F82" s="1107">
        <f>+'PSO TCOS'!G153</f>
        <v>20436310</v>
      </c>
      <c r="G82" s="1107"/>
    </row>
    <row r="83" spans="1:16">
      <c r="A83" s="1231">
        <f t="shared" si="3"/>
        <v>53</v>
      </c>
      <c r="C83" s="1106" t="s">
        <v>383</v>
      </c>
      <c r="F83" s="1298">
        <f>IF(F81=0,0,F82/F81)</f>
        <v>2.3339374969793023E-2</v>
      </c>
      <c r="G83" s="1107"/>
    </row>
    <row r="84" spans="1:16">
      <c r="A84" s="1231">
        <f t="shared" si="3"/>
        <v>54</v>
      </c>
      <c r="C84" s="1106" t="s">
        <v>384</v>
      </c>
      <c r="F84" s="1391">
        <f>IF(F83=0,0,1/F83)</f>
        <v>42.84604884639154</v>
      </c>
      <c r="G84" s="1298"/>
      <c r="I84" s="1051"/>
      <c r="J84" s="1051"/>
      <c r="K84" s="1051"/>
    </row>
    <row r="85" spans="1:16">
      <c r="A85" s="1231">
        <f t="shared" si="3"/>
        <v>55</v>
      </c>
      <c r="C85" s="1106" t="s">
        <v>385</v>
      </c>
      <c r="F85" s="1096">
        <f>ROUND(F84,0)</f>
        <v>43</v>
      </c>
      <c r="G85" s="1391"/>
    </row>
    <row r="86" spans="1:16">
      <c r="A86" s="1231"/>
      <c r="C86" s="247"/>
      <c r="D86" s="1287"/>
      <c r="E86" s="1287"/>
      <c r="F86" s="1335"/>
      <c r="G86" s="1096"/>
    </row>
    <row r="87" spans="1:16">
      <c r="C87" s="1106"/>
      <c r="F87" s="1096"/>
      <c r="G87" s="1096"/>
    </row>
    <row r="89" spans="1:16" ht="20.25">
      <c r="A89" s="1502" t="str">
        <f>"Worksheet G  --  "&amp;'PSO TCOS'!F8&amp;"--  Calculation of Trued-Up ARR for SPP Base Plan Upgrade Projects"</f>
        <v>Worksheet G  --  PUBLIC SERVICE COMPANY OF OKLAHOMA--  Calculation of Trued-Up ARR for SPP Base Plan Upgrade Projects</v>
      </c>
      <c r="B89" s="1369"/>
      <c r="C89" s="1503"/>
      <c r="D89" s="1504"/>
      <c r="E89" s="1369"/>
      <c r="F89" s="1505"/>
      <c r="G89" s="1505"/>
      <c r="H89" s="1369"/>
      <c r="I89" s="1395"/>
      <c r="J89" s="1369"/>
      <c r="K89" s="1506"/>
      <c r="L89" s="1507"/>
      <c r="M89" s="1507"/>
      <c r="N89" s="1369"/>
      <c r="O89" s="1369"/>
      <c r="P89" s="1507"/>
    </row>
    <row r="90" spans="1:16" ht="18">
      <c r="A90" s="1369"/>
      <c r="B90" s="1369"/>
      <c r="C90" s="1369"/>
      <c r="D90" s="1504"/>
      <c r="E90" s="1369"/>
      <c r="F90" s="1369"/>
      <c r="G90" s="1369"/>
      <c r="H90" s="1369"/>
      <c r="I90" s="1395"/>
      <c r="J90" s="1369"/>
      <c r="K90" s="1506"/>
      <c r="L90" s="1369"/>
      <c r="M90" s="1369"/>
      <c r="N90" s="1369"/>
      <c r="O90" s="1369"/>
      <c r="P90" s="1508"/>
    </row>
    <row r="91" spans="1:16" ht="18.75" thickBot="1">
      <c r="A91" s="1369"/>
      <c r="B91" s="1509" t="s">
        <v>315</v>
      </c>
      <c r="C91" s="1510" t="s">
        <v>484</v>
      </c>
      <c r="D91" s="1504"/>
      <c r="E91" s="1369"/>
      <c r="F91" s="1369"/>
      <c r="G91" s="1369"/>
      <c r="H91" s="1369"/>
      <c r="I91" s="1395"/>
      <c r="J91" s="1395"/>
      <c r="K91" s="1400"/>
      <c r="L91" s="1395"/>
      <c r="M91" s="1395"/>
      <c r="N91" s="1395"/>
      <c r="O91" s="1400"/>
      <c r="P91" s="1369"/>
    </row>
    <row r="92" spans="1:16" ht="15.75" thickBot="1">
      <c r="A92" s="1369"/>
      <c r="B92" s="1369"/>
      <c r="C92" s="835"/>
      <c r="D92" s="1504"/>
      <c r="E92" s="1369"/>
      <c r="F92" s="1369"/>
      <c r="G92" s="1369"/>
      <c r="H92" s="1369"/>
      <c r="I92" s="1395"/>
      <c r="J92" s="1395"/>
      <c r="K92" s="1400"/>
      <c r="L92" s="1511">
        <f>+M17</f>
        <v>2018</v>
      </c>
      <c r="M92" s="1512" t="s">
        <v>373</v>
      </c>
      <c r="N92" s="1513" t="s">
        <v>485</v>
      </c>
      <c r="O92" s="1514" t="s">
        <v>374</v>
      </c>
      <c r="P92" s="1369"/>
    </row>
    <row r="93" spans="1:16" ht="15">
      <c r="A93" s="1369"/>
      <c r="B93" s="1369"/>
      <c r="C93" s="1368" t="s">
        <v>448</v>
      </c>
      <c r="D93" s="1504"/>
      <c r="E93" s="1369"/>
      <c r="F93" s="1369"/>
      <c r="G93" s="1369"/>
      <c r="H93" s="1403"/>
      <c r="I93" s="1515"/>
      <c r="J93" s="1369"/>
      <c r="K93" s="1516"/>
      <c r="L93" s="1517" t="s">
        <v>497</v>
      </c>
      <c r="M93" s="1518"/>
      <c r="N93" s="1518"/>
      <c r="O93" s="1519">
        <v>0</v>
      </c>
      <c r="P93" s="1369"/>
    </row>
    <row r="94" spans="1:16" ht="15.75">
      <c r="A94" s="1369"/>
      <c r="B94" s="1369"/>
      <c r="C94" s="1520"/>
      <c r="D94" s="1504"/>
      <c r="E94" s="1369"/>
      <c r="F94" s="1369"/>
      <c r="G94" s="1369"/>
      <c r="H94" s="1369"/>
      <c r="I94" s="1410"/>
      <c r="J94" s="1410"/>
      <c r="K94" s="1521"/>
      <c r="L94" s="1522" t="s">
        <v>498</v>
      </c>
      <c r="M94" s="1523"/>
      <c r="N94" s="1523"/>
      <c r="O94" s="1524">
        <v>0</v>
      </c>
      <c r="P94" s="1369"/>
    </row>
    <row r="95" spans="1:16" ht="13.5" thickBot="1">
      <c r="A95" s="1369"/>
      <c r="B95" s="1369"/>
      <c r="C95" s="1525" t="s">
        <v>486</v>
      </c>
      <c r="D95" s="1415"/>
      <c r="E95" s="1415"/>
      <c r="F95" s="1369"/>
      <c r="G95" s="1369"/>
      <c r="H95" s="1369"/>
      <c r="I95" s="1395"/>
      <c r="J95" s="1395"/>
      <c r="K95" s="1468"/>
      <c r="L95" s="1526" t="s">
        <v>487</v>
      </c>
      <c r="M95" s="1527"/>
      <c r="N95" s="1527"/>
      <c r="O95" s="1528">
        <v>0</v>
      </c>
      <c r="P95" s="1369"/>
    </row>
    <row r="96" spans="1:16" ht="13.5" thickBot="1">
      <c r="A96" s="1369"/>
      <c r="B96" s="1369"/>
      <c r="C96" s="1525"/>
      <c r="D96" s="1529" t="s">
        <v>339</v>
      </c>
      <c r="E96" s="1530"/>
      <c r="F96" s="1530"/>
      <c r="G96" s="1530"/>
      <c r="H96" s="1531"/>
      <c r="I96" s="1395"/>
      <c r="J96" s="1395"/>
      <c r="K96" s="1400"/>
      <c r="L96" s="1395"/>
      <c r="M96" s="1395"/>
      <c r="N96" s="1395"/>
      <c r="O96" s="1400"/>
      <c r="P96" s="1369"/>
    </row>
    <row r="97" spans="1:16" ht="13.5" thickBot="1">
      <c r="A97" s="1532"/>
      <c r="B97" s="1369"/>
      <c r="C97" s="1533" t="s">
        <v>488</v>
      </c>
      <c r="D97" s="1421"/>
      <c r="E97" s="1422" t="s">
        <v>898</v>
      </c>
      <c r="F97" s="1534"/>
      <c r="G97" s="1534"/>
      <c r="H97" s="1534"/>
      <c r="I97" s="1534"/>
      <c r="J97" s="1534"/>
      <c r="K97" s="1535"/>
      <c r="L97" s="1369"/>
      <c r="M97" s="1369"/>
      <c r="N97" s="1369"/>
      <c r="O97" s="1369"/>
      <c r="P97" s="1536"/>
    </row>
    <row r="98" spans="1:16" ht="15">
      <c r="A98" s="1369"/>
      <c r="B98" s="1369"/>
      <c r="C98" s="1537" t="s">
        <v>452</v>
      </c>
      <c r="D98" s="1538"/>
      <c r="E98" s="1503" t="s">
        <v>128</v>
      </c>
      <c r="F98" s="1369"/>
      <c r="G98" s="1369"/>
      <c r="H98" s="1539"/>
      <c r="I98" s="1539"/>
      <c r="J98" s="1540">
        <f>+M17</f>
        <v>2018</v>
      </c>
      <c r="K98" s="1541"/>
      <c r="L98" s="1400" t="s">
        <v>489</v>
      </c>
      <c r="M98" s="1369"/>
      <c r="N98" s="1369"/>
      <c r="O98" s="1369"/>
      <c r="P98" s="1506"/>
    </row>
    <row r="99" spans="1:16" ht="15">
      <c r="A99" s="1369"/>
      <c r="B99" s="1369"/>
      <c r="C99" s="1542" t="s">
        <v>454</v>
      </c>
      <c r="D99" s="1543"/>
      <c r="E99" s="1542" t="s">
        <v>455</v>
      </c>
      <c r="F99" s="1539"/>
      <c r="G99" s="1539"/>
      <c r="H99" s="1369"/>
      <c r="I99" s="1369"/>
      <c r="J99" s="1544">
        <v>0</v>
      </c>
      <c r="K99" s="1545"/>
      <c r="L99" s="1369" t="s">
        <v>491</v>
      </c>
      <c r="M99" s="1369"/>
      <c r="N99" s="1369"/>
      <c r="O99" s="1369"/>
      <c r="P99" s="1506"/>
    </row>
    <row r="100" spans="1:16" ht="15">
      <c r="A100" s="1369"/>
      <c r="B100" s="1369"/>
      <c r="C100" s="1542" t="s">
        <v>456</v>
      </c>
      <c r="D100" s="1543"/>
      <c r="E100" s="1542" t="s">
        <v>457</v>
      </c>
      <c r="F100" s="1539"/>
      <c r="G100" s="1539"/>
      <c r="H100" s="1369"/>
      <c r="I100" s="1369"/>
      <c r="J100" s="1546">
        <f>+F77</f>
        <v>0.10357596017730604</v>
      </c>
      <c r="K100" s="1547"/>
      <c r="L100" s="1369" t="s">
        <v>492</v>
      </c>
      <c r="M100" s="1369"/>
      <c r="N100" s="1369"/>
      <c r="O100" s="1369"/>
      <c r="P100" s="1506"/>
    </row>
    <row r="101" spans="1:16" ht="15">
      <c r="A101" s="1369"/>
      <c r="B101" s="1369"/>
      <c r="C101" s="1542" t="s">
        <v>459</v>
      </c>
      <c r="D101" s="1543"/>
      <c r="E101" s="1542" t="s">
        <v>460</v>
      </c>
      <c r="F101" s="1539"/>
      <c r="G101" s="1539"/>
      <c r="H101" s="1369"/>
      <c r="I101" s="1369"/>
      <c r="J101" s="1434">
        <f>IF(H93="",J100,F76)</f>
        <v>0.10357596017730604</v>
      </c>
      <c r="K101" s="1548"/>
      <c r="L101" s="1400" t="s">
        <v>461</v>
      </c>
      <c r="M101" s="1548"/>
      <c r="N101" s="1548"/>
      <c r="O101" s="1548"/>
      <c r="P101" s="1506"/>
    </row>
    <row r="102" spans="1:16" ht="15.75" thickBot="1">
      <c r="A102" s="1369"/>
      <c r="B102" s="1369"/>
      <c r="C102" s="1542" t="s">
        <v>462</v>
      </c>
      <c r="D102" s="1543"/>
      <c r="E102" s="1549" t="s">
        <v>463</v>
      </c>
      <c r="F102" s="1550"/>
      <c r="G102" s="1550"/>
      <c r="H102" s="1551"/>
      <c r="I102" s="1551"/>
      <c r="J102" s="1418"/>
      <c r="K102" s="1400"/>
      <c r="L102" s="1400"/>
      <c r="M102" s="1400"/>
      <c r="N102" s="1400"/>
      <c r="O102" s="1400"/>
      <c r="P102" s="1506"/>
    </row>
    <row r="103" spans="1:16" ht="38.25">
      <c r="A103" s="1552"/>
      <c r="B103" s="1552"/>
      <c r="C103" s="1553" t="s">
        <v>386</v>
      </c>
      <c r="D103" s="1443" t="s">
        <v>464</v>
      </c>
      <c r="E103" s="1443" t="s">
        <v>465</v>
      </c>
      <c r="F103" s="1443" t="s">
        <v>466</v>
      </c>
      <c r="G103" s="1554" t="s">
        <v>182</v>
      </c>
      <c r="H103" s="1555" t="s">
        <v>493</v>
      </c>
      <c r="I103" s="1555" t="s">
        <v>468</v>
      </c>
      <c r="J103" s="1553" t="s">
        <v>494</v>
      </c>
      <c r="K103" s="1556"/>
      <c r="L103" s="1444" t="s">
        <v>495</v>
      </c>
      <c r="M103" s="1444" t="s">
        <v>496</v>
      </c>
      <c r="N103" s="1444" t="s">
        <v>495</v>
      </c>
      <c r="O103" s="1444" t="s">
        <v>496</v>
      </c>
      <c r="P103" s="1444" t="s">
        <v>472</v>
      </c>
    </row>
    <row r="104" spans="1:16" ht="13.5" thickBot="1">
      <c r="A104" s="1369"/>
      <c r="B104" s="1369"/>
      <c r="C104" s="1557" t="s">
        <v>473</v>
      </c>
      <c r="D104" s="1558" t="s">
        <v>318</v>
      </c>
      <c r="E104" s="1559" t="s">
        <v>217</v>
      </c>
      <c r="F104" s="1559" t="s">
        <v>318</v>
      </c>
      <c r="G104" s="1559" t="s">
        <v>318</v>
      </c>
      <c r="H104" s="1452" t="s">
        <v>474</v>
      </c>
      <c r="I104" s="1447" t="s">
        <v>475</v>
      </c>
      <c r="J104" s="1559" t="s">
        <v>891</v>
      </c>
      <c r="K104" s="1560"/>
      <c r="L104" s="1451" t="s">
        <v>477</v>
      </c>
      <c r="M104" s="1451" t="s">
        <v>477</v>
      </c>
      <c r="N104" s="1451" t="s">
        <v>892</v>
      </c>
      <c r="O104" s="1451" t="s">
        <v>892</v>
      </c>
      <c r="P104" s="1451" t="s">
        <v>892</v>
      </c>
    </row>
    <row r="105" spans="1:16">
      <c r="A105" s="1369"/>
      <c r="B105" s="1369"/>
      <c r="C105" s="1561" t="s">
        <v>490</v>
      </c>
      <c r="D105" s="1562">
        <v>0</v>
      </c>
      <c r="E105" s="1462">
        <v>0</v>
      </c>
      <c r="F105" s="1563">
        <v>0</v>
      </c>
      <c r="G105" s="1564">
        <v>0</v>
      </c>
      <c r="H105" s="1565">
        <v>0</v>
      </c>
      <c r="I105" s="1566">
        <v>0</v>
      </c>
      <c r="J105" s="1567">
        <v>0</v>
      </c>
      <c r="K105" s="1567"/>
      <c r="L105" s="1568"/>
      <c r="M105" s="1569">
        <v>0</v>
      </c>
      <c r="N105" s="1568"/>
      <c r="O105" s="1569">
        <v>0</v>
      </c>
      <c r="P105" s="1569">
        <v>0</v>
      </c>
    </row>
    <row r="106" spans="1:16">
      <c r="A106" s="1369"/>
      <c r="B106" s="1504"/>
      <c r="C106" s="1561">
        <v>2014</v>
      </c>
      <c r="D106" s="1562">
        <v>0</v>
      </c>
      <c r="E106" s="1462">
        <v>0</v>
      </c>
      <c r="F106" s="1563">
        <v>0</v>
      </c>
      <c r="G106" s="1563">
        <v>0</v>
      </c>
      <c r="H106" s="1465">
        <v>0</v>
      </c>
      <c r="I106" s="1570">
        <v>0</v>
      </c>
      <c r="J106" s="1567">
        <v>0</v>
      </c>
      <c r="K106" s="1567"/>
      <c r="L106" s="1571"/>
      <c r="M106" s="1567">
        <v>0</v>
      </c>
      <c r="N106" s="1571"/>
      <c r="O106" s="1567">
        <v>0</v>
      </c>
      <c r="P106" s="1567">
        <v>0</v>
      </c>
    </row>
    <row r="107" spans="1:16">
      <c r="A107" s="1369"/>
      <c r="B107" s="1504" t="s">
        <v>339</v>
      </c>
      <c r="C107" s="1561">
        <v>2015</v>
      </c>
      <c r="D107" s="1562">
        <v>0</v>
      </c>
      <c r="E107" s="1462">
        <v>0</v>
      </c>
      <c r="F107" s="1563">
        <v>0</v>
      </c>
      <c r="G107" s="1563">
        <v>0</v>
      </c>
      <c r="H107" s="1465">
        <v>0</v>
      </c>
      <c r="I107" s="1570">
        <v>0</v>
      </c>
      <c r="J107" s="1567">
        <v>0</v>
      </c>
      <c r="K107" s="1567"/>
      <c r="L107" s="1571"/>
      <c r="M107" s="1567">
        <v>0</v>
      </c>
      <c r="N107" s="1571"/>
      <c r="O107" s="1567">
        <v>0</v>
      </c>
      <c r="P107" s="1567">
        <v>0</v>
      </c>
    </row>
    <row r="108" spans="1:16">
      <c r="A108" s="1369"/>
      <c r="B108" s="1504" t="s">
        <v>339</v>
      </c>
      <c r="C108" s="1561">
        <v>2016</v>
      </c>
      <c r="D108" s="1562">
        <v>0</v>
      </c>
      <c r="E108" s="1462">
        <v>0</v>
      </c>
      <c r="F108" s="1563">
        <v>0</v>
      </c>
      <c r="G108" s="1563">
        <v>0</v>
      </c>
      <c r="H108" s="1465">
        <v>0</v>
      </c>
      <c r="I108" s="1570">
        <v>0</v>
      </c>
      <c r="J108" s="1567">
        <v>0</v>
      </c>
      <c r="K108" s="1567"/>
      <c r="L108" s="1571"/>
      <c r="M108" s="1567">
        <v>0</v>
      </c>
      <c r="N108" s="1571"/>
      <c r="O108" s="1567">
        <v>0</v>
      </c>
      <c r="P108" s="1567">
        <v>0</v>
      </c>
    </row>
    <row r="109" spans="1:16">
      <c r="A109" s="1369"/>
      <c r="B109" s="1504" t="s">
        <v>339</v>
      </c>
      <c r="C109" s="1561">
        <v>2017</v>
      </c>
      <c r="D109" s="1562">
        <v>0</v>
      </c>
      <c r="E109" s="1462">
        <v>0</v>
      </c>
      <c r="F109" s="1563">
        <v>0</v>
      </c>
      <c r="G109" s="1563">
        <v>0</v>
      </c>
      <c r="H109" s="1465">
        <v>0</v>
      </c>
      <c r="I109" s="1570">
        <v>0</v>
      </c>
      <c r="J109" s="1567">
        <v>0</v>
      </c>
      <c r="K109" s="1567"/>
      <c r="L109" s="1571"/>
      <c r="M109" s="1567">
        <v>0</v>
      </c>
      <c r="N109" s="1571"/>
      <c r="O109" s="1567">
        <v>0</v>
      </c>
      <c r="P109" s="1567">
        <v>0</v>
      </c>
    </row>
    <row r="110" spans="1:16">
      <c r="A110" s="1369"/>
      <c r="B110" s="1504" t="s">
        <v>339</v>
      </c>
      <c r="C110" s="1561">
        <v>2018</v>
      </c>
      <c r="D110" s="1562">
        <v>0</v>
      </c>
      <c r="E110" s="1462">
        <v>0</v>
      </c>
      <c r="F110" s="1563">
        <v>0</v>
      </c>
      <c r="G110" s="1563">
        <v>0</v>
      </c>
      <c r="H110" s="1465">
        <v>0</v>
      </c>
      <c r="I110" s="1570">
        <v>0</v>
      </c>
      <c r="J110" s="1567">
        <v>0</v>
      </c>
      <c r="K110" s="1567"/>
      <c r="L110" s="1571"/>
      <c r="M110" s="1567">
        <v>0</v>
      </c>
      <c r="N110" s="1571"/>
      <c r="O110" s="1567">
        <v>0</v>
      </c>
      <c r="P110" s="1567">
        <v>0</v>
      </c>
    </row>
    <row r="111" spans="1:16">
      <c r="A111" s="1369"/>
      <c r="B111" s="1504" t="s">
        <v>339</v>
      </c>
      <c r="C111" s="1561">
        <v>2019</v>
      </c>
      <c r="D111" s="1562">
        <v>0</v>
      </c>
      <c r="E111" s="1462">
        <v>0</v>
      </c>
      <c r="F111" s="1563">
        <v>0</v>
      </c>
      <c r="G111" s="1563">
        <v>0</v>
      </c>
      <c r="H111" s="1465">
        <v>0</v>
      </c>
      <c r="I111" s="1570">
        <v>0</v>
      </c>
      <c r="J111" s="1567">
        <v>0</v>
      </c>
      <c r="K111" s="1567"/>
      <c r="L111" s="1571"/>
      <c r="M111" s="1567">
        <v>0</v>
      </c>
      <c r="N111" s="1571"/>
      <c r="O111" s="1567">
        <v>0</v>
      </c>
      <c r="P111" s="1567">
        <v>0</v>
      </c>
    </row>
    <row r="112" spans="1:16">
      <c r="A112" s="1369"/>
      <c r="B112" s="1504" t="s">
        <v>339</v>
      </c>
      <c r="C112" s="1561">
        <v>2020</v>
      </c>
      <c r="D112" s="1562">
        <v>0</v>
      </c>
      <c r="E112" s="1462">
        <v>0</v>
      </c>
      <c r="F112" s="1563">
        <v>0</v>
      </c>
      <c r="G112" s="1563">
        <v>0</v>
      </c>
      <c r="H112" s="1465">
        <v>0</v>
      </c>
      <c r="I112" s="1570">
        <v>0</v>
      </c>
      <c r="J112" s="1567">
        <v>0</v>
      </c>
      <c r="K112" s="1567"/>
      <c r="L112" s="1571"/>
      <c r="M112" s="1567">
        <v>0</v>
      </c>
      <c r="N112" s="1571"/>
      <c r="O112" s="1567">
        <v>0</v>
      </c>
      <c r="P112" s="1567">
        <v>0</v>
      </c>
    </row>
    <row r="113" spans="1:16">
      <c r="A113" s="1369"/>
      <c r="B113" s="1504" t="s">
        <v>339</v>
      </c>
      <c r="C113" s="1561">
        <v>2021</v>
      </c>
      <c r="D113" s="1562">
        <v>0</v>
      </c>
      <c r="E113" s="1462">
        <v>0</v>
      </c>
      <c r="F113" s="1563">
        <v>0</v>
      </c>
      <c r="G113" s="1563">
        <v>0</v>
      </c>
      <c r="H113" s="1465">
        <v>0</v>
      </c>
      <c r="I113" s="1570">
        <v>0</v>
      </c>
      <c r="J113" s="1567">
        <v>0</v>
      </c>
      <c r="K113" s="1567"/>
      <c r="L113" s="1571"/>
      <c r="M113" s="1567">
        <v>0</v>
      </c>
      <c r="N113" s="1571"/>
      <c r="O113" s="1567">
        <v>0</v>
      </c>
      <c r="P113" s="1567">
        <v>0</v>
      </c>
    </row>
    <row r="114" spans="1:16">
      <c r="A114" s="1369"/>
      <c r="B114" s="1504" t="s">
        <v>339</v>
      </c>
      <c r="C114" s="1561">
        <v>2022</v>
      </c>
      <c r="D114" s="1562">
        <v>0</v>
      </c>
      <c r="E114" s="1462">
        <v>0</v>
      </c>
      <c r="F114" s="1563">
        <v>0</v>
      </c>
      <c r="G114" s="1563">
        <v>0</v>
      </c>
      <c r="H114" s="1465">
        <v>0</v>
      </c>
      <c r="I114" s="1570">
        <v>0</v>
      </c>
      <c r="J114" s="1567">
        <v>0</v>
      </c>
      <c r="K114" s="1567"/>
      <c r="L114" s="1571"/>
      <c r="M114" s="1567">
        <v>0</v>
      </c>
      <c r="N114" s="1571"/>
      <c r="O114" s="1567">
        <v>0</v>
      </c>
      <c r="P114" s="1567">
        <v>0</v>
      </c>
    </row>
    <row r="115" spans="1:16">
      <c r="A115" s="1369"/>
      <c r="B115" s="1504" t="s">
        <v>339</v>
      </c>
      <c r="C115" s="1561">
        <v>2023</v>
      </c>
      <c r="D115" s="1562">
        <v>0</v>
      </c>
      <c r="E115" s="1462">
        <v>0</v>
      </c>
      <c r="F115" s="1563">
        <v>0</v>
      </c>
      <c r="G115" s="1563">
        <v>0</v>
      </c>
      <c r="H115" s="1465">
        <v>0</v>
      </c>
      <c r="I115" s="1570">
        <v>0</v>
      </c>
      <c r="J115" s="1567">
        <v>0</v>
      </c>
      <c r="K115" s="1567"/>
      <c r="L115" s="1571"/>
      <c r="M115" s="1567">
        <v>0</v>
      </c>
      <c r="N115" s="1571"/>
      <c r="O115" s="1567">
        <v>0</v>
      </c>
      <c r="P115" s="1567">
        <v>0</v>
      </c>
    </row>
    <row r="116" spans="1:16">
      <c r="A116" s="1369"/>
      <c r="B116" s="1504" t="s">
        <v>339</v>
      </c>
      <c r="C116" s="1561">
        <v>2024</v>
      </c>
      <c r="D116" s="1562">
        <v>0</v>
      </c>
      <c r="E116" s="1462">
        <v>0</v>
      </c>
      <c r="F116" s="1563">
        <v>0</v>
      </c>
      <c r="G116" s="1563">
        <v>0</v>
      </c>
      <c r="H116" s="1465">
        <v>0</v>
      </c>
      <c r="I116" s="1570">
        <v>0</v>
      </c>
      <c r="J116" s="1567">
        <v>0</v>
      </c>
      <c r="K116" s="1567"/>
      <c r="L116" s="1571"/>
      <c r="M116" s="1567">
        <v>0</v>
      </c>
      <c r="N116" s="1571"/>
      <c r="O116" s="1567">
        <v>0</v>
      </c>
      <c r="P116" s="1567">
        <v>0</v>
      </c>
    </row>
    <row r="117" spans="1:16">
      <c r="A117" s="1369"/>
      <c r="B117" s="1504" t="s">
        <v>339</v>
      </c>
      <c r="C117" s="1561">
        <v>2025</v>
      </c>
      <c r="D117" s="1562">
        <v>0</v>
      </c>
      <c r="E117" s="1462">
        <v>0</v>
      </c>
      <c r="F117" s="1563">
        <v>0</v>
      </c>
      <c r="G117" s="1563">
        <v>0</v>
      </c>
      <c r="H117" s="1465">
        <v>0</v>
      </c>
      <c r="I117" s="1570">
        <v>0</v>
      </c>
      <c r="J117" s="1567">
        <v>0</v>
      </c>
      <c r="K117" s="1567"/>
      <c r="L117" s="1571"/>
      <c r="M117" s="1567">
        <v>0</v>
      </c>
      <c r="N117" s="1571"/>
      <c r="O117" s="1567">
        <v>0</v>
      </c>
      <c r="P117" s="1567">
        <v>0</v>
      </c>
    </row>
    <row r="118" spans="1:16">
      <c r="A118" s="1369"/>
      <c r="B118" s="1504" t="s">
        <v>339</v>
      </c>
      <c r="C118" s="1561">
        <v>2026</v>
      </c>
      <c r="D118" s="1562">
        <v>0</v>
      </c>
      <c r="E118" s="1462">
        <v>0</v>
      </c>
      <c r="F118" s="1563">
        <v>0</v>
      </c>
      <c r="G118" s="1563">
        <v>0</v>
      </c>
      <c r="H118" s="1465">
        <v>0</v>
      </c>
      <c r="I118" s="1570">
        <v>0</v>
      </c>
      <c r="J118" s="1567">
        <v>0</v>
      </c>
      <c r="K118" s="1567"/>
      <c r="L118" s="1571"/>
      <c r="M118" s="1567">
        <v>0</v>
      </c>
      <c r="N118" s="1571"/>
      <c r="O118" s="1567">
        <v>0</v>
      </c>
      <c r="P118" s="1567">
        <v>0</v>
      </c>
    </row>
    <row r="119" spans="1:16">
      <c r="B119" s="1504" t="s">
        <v>339</v>
      </c>
      <c r="C119" s="1561">
        <v>2027</v>
      </c>
      <c r="D119" s="1562">
        <v>0</v>
      </c>
      <c r="E119" s="1462">
        <v>0</v>
      </c>
      <c r="F119" s="1563">
        <v>0</v>
      </c>
      <c r="G119" s="1563">
        <v>0</v>
      </c>
      <c r="H119" s="1465">
        <v>0</v>
      </c>
      <c r="I119" s="1570">
        <v>0</v>
      </c>
      <c r="J119" s="1567">
        <v>0</v>
      </c>
      <c r="K119" s="1567"/>
      <c r="L119" s="1571"/>
      <c r="M119" s="1567">
        <v>0</v>
      </c>
      <c r="N119" s="1571"/>
      <c r="O119" s="1567">
        <v>0</v>
      </c>
      <c r="P119" s="1567">
        <v>0</v>
      </c>
    </row>
    <row r="120" spans="1:16">
      <c r="B120" s="1504" t="s">
        <v>339</v>
      </c>
      <c r="C120" s="1561">
        <v>2028</v>
      </c>
      <c r="D120" s="1562">
        <v>0</v>
      </c>
      <c r="E120" s="1462">
        <v>0</v>
      </c>
      <c r="F120" s="1563">
        <v>0</v>
      </c>
      <c r="G120" s="1563">
        <v>0</v>
      </c>
      <c r="H120" s="1465">
        <v>0</v>
      </c>
      <c r="I120" s="1570">
        <v>0</v>
      </c>
      <c r="J120" s="1567">
        <v>0</v>
      </c>
      <c r="K120" s="1567"/>
      <c r="L120" s="1571"/>
      <c r="M120" s="1567">
        <v>0</v>
      </c>
      <c r="N120" s="1571"/>
      <c r="O120" s="1567">
        <v>0</v>
      </c>
      <c r="P120" s="1567">
        <v>0</v>
      </c>
    </row>
    <row r="121" spans="1:16">
      <c r="B121" s="1504" t="s">
        <v>339</v>
      </c>
      <c r="C121" s="1561">
        <v>2029</v>
      </c>
      <c r="D121" s="1562">
        <v>0</v>
      </c>
      <c r="E121" s="1462">
        <v>0</v>
      </c>
      <c r="F121" s="1563">
        <v>0</v>
      </c>
      <c r="G121" s="1563">
        <v>0</v>
      </c>
      <c r="H121" s="1465">
        <v>0</v>
      </c>
      <c r="I121" s="1570">
        <v>0</v>
      </c>
      <c r="J121" s="1567">
        <v>0</v>
      </c>
      <c r="K121" s="1567"/>
      <c r="L121" s="1571"/>
      <c r="M121" s="1567">
        <v>0</v>
      </c>
      <c r="N121" s="1571"/>
      <c r="O121" s="1567">
        <v>0</v>
      </c>
      <c r="P121" s="1567">
        <v>0</v>
      </c>
    </row>
    <row r="122" spans="1:16">
      <c r="B122" s="1504" t="s">
        <v>339</v>
      </c>
      <c r="C122" s="1561">
        <v>2030</v>
      </c>
      <c r="D122" s="1562">
        <v>0</v>
      </c>
      <c r="E122" s="1462">
        <v>0</v>
      </c>
      <c r="F122" s="1563">
        <v>0</v>
      </c>
      <c r="G122" s="1563">
        <v>0</v>
      </c>
      <c r="H122" s="1465">
        <v>0</v>
      </c>
      <c r="I122" s="1570">
        <v>0</v>
      </c>
      <c r="J122" s="1567">
        <v>0</v>
      </c>
      <c r="K122" s="1567"/>
      <c r="L122" s="1571"/>
      <c r="M122" s="1567">
        <v>0</v>
      </c>
      <c r="N122" s="1571"/>
      <c r="O122" s="1567">
        <v>0</v>
      </c>
      <c r="P122" s="1567">
        <v>0</v>
      </c>
    </row>
    <row r="123" spans="1:16">
      <c r="B123" s="1504" t="s">
        <v>339</v>
      </c>
      <c r="C123" s="1561">
        <v>2031</v>
      </c>
      <c r="D123" s="1562">
        <v>0</v>
      </c>
      <c r="E123" s="1462">
        <v>0</v>
      </c>
      <c r="F123" s="1563">
        <v>0</v>
      </c>
      <c r="G123" s="1563">
        <v>0</v>
      </c>
      <c r="H123" s="1465">
        <v>0</v>
      </c>
      <c r="I123" s="1570">
        <v>0</v>
      </c>
      <c r="J123" s="1567">
        <v>0</v>
      </c>
      <c r="K123" s="1567"/>
      <c r="L123" s="1571"/>
      <c r="M123" s="1567">
        <v>0</v>
      </c>
      <c r="N123" s="1571"/>
      <c r="O123" s="1567">
        <v>0</v>
      </c>
      <c r="P123" s="1567">
        <v>0</v>
      </c>
    </row>
    <row r="124" spans="1:16">
      <c r="B124" s="1504" t="s">
        <v>339</v>
      </c>
      <c r="C124" s="1561">
        <v>2032</v>
      </c>
      <c r="D124" s="1562">
        <v>0</v>
      </c>
      <c r="E124" s="1462">
        <v>0</v>
      </c>
      <c r="F124" s="1563">
        <v>0</v>
      </c>
      <c r="G124" s="1563">
        <v>0</v>
      </c>
      <c r="H124" s="1465">
        <v>0</v>
      </c>
      <c r="I124" s="1570">
        <v>0</v>
      </c>
      <c r="J124" s="1567">
        <v>0</v>
      </c>
      <c r="K124" s="1567"/>
      <c r="L124" s="1571"/>
      <c r="M124" s="1567">
        <v>0</v>
      </c>
      <c r="N124" s="1571"/>
      <c r="O124" s="1567">
        <v>0</v>
      </c>
      <c r="P124" s="1567">
        <v>0</v>
      </c>
    </row>
    <row r="125" spans="1:16">
      <c r="B125" s="1504" t="s">
        <v>339</v>
      </c>
      <c r="C125" s="1561">
        <v>2033</v>
      </c>
      <c r="D125" s="1562">
        <v>0</v>
      </c>
      <c r="E125" s="1462">
        <v>0</v>
      </c>
      <c r="F125" s="1563">
        <v>0</v>
      </c>
      <c r="G125" s="1563">
        <v>0</v>
      </c>
      <c r="H125" s="1465">
        <v>0</v>
      </c>
      <c r="I125" s="1570">
        <v>0</v>
      </c>
      <c r="J125" s="1567">
        <v>0</v>
      </c>
      <c r="K125" s="1567"/>
      <c r="L125" s="1571"/>
      <c r="M125" s="1567">
        <v>0</v>
      </c>
      <c r="N125" s="1571"/>
      <c r="O125" s="1567">
        <v>0</v>
      </c>
      <c r="P125" s="1567">
        <v>0</v>
      </c>
    </row>
    <row r="126" spans="1:16">
      <c r="B126" s="1504" t="s">
        <v>339</v>
      </c>
      <c r="C126" s="1561">
        <v>2034</v>
      </c>
      <c r="D126" s="1562">
        <v>0</v>
      </c>
      <c r="E126" s="1462">
        <v>0</v>
      </c>
      <c r="F126" s="1563">
        <v>0</v>
      </c>
      <c r="G126" s="1563">
        <v>0</v>
      </c>
      <c r="H126" s="1465">
        <v>0</v>
      </c>
      <c r="I126" s="1570">
        <v>0</v>
      </c>
      <c r="J126" s="1567">
        <v>0</v>
      </c>
      <c r="K126" s="1567"/>
      <c r="L126" s="1571"/>
      <c r="M126" s="1567">
        <v>0</v>
      </c>
      <c r="N126" s="1571"/>
      <c r="O126" s="1567">
        <v>0</v>
      </c>
      <c r="P126" s="1567">
        <v>0</v>
      </c>
    </row>
    <row r="127" spans="1:16">
      <c r="B127" s="1504" t="s">
        <v>339</v>
      </c>
      <c r="C127" s="1561">
        <v>2035</v>
      </c>
      <c r="D127" s="1562">
        <v>0</v>
      </c>
      <c r="E127" s="1462">
        <v>0</v>
      </c>
      <c r="F127" s="1563">
        <v>0</v>
      </c>
      <c r="G127" s="1563">
        <v>0</v>
      </c>
      <c r="H127" s="1465">
        <v>0</v>
      </c>
      <c r="I127" s="1570">
        <v>0</v>
      </c>
      <c r="J127" s="1567">
        <v>0</v>
      </c>
      <c r="K127" s="1567"/>
      <c r="L127" s="1571"/>
      <c r="M127" s="1567">
        <v>0</v>
      </c>
      <c r="N127" s="1571"/>
      <c r="O127" s="1567">
        <v>0</v>
      </c>
      <c r="P127" s="1567">
        <v>0</v>
      </c>
    </row>
    <row r="128" spans="1:16">
      <c r="B128" s="1504" t="s">
        <v>339</v>
      </c>
      <c r="C128" s="1561">
        <v>2036</v>
      </c>
      <c r="D128" s="1562">
        <v>0</v>
      </c>
      <c r="E128" s="1462">
        <v>0</v>
      </c>
      <c r="F128" s="1563">
        <v>0</v>
      </c>
      <c r="G128" s="1563">
        <v>0</v>
      </c>
      <c r="H128" s="1465">
        <v>0</v>
      </c>
      <c r="I128" s="1570">
        <v>0</v>
      </c>
      <c r="J128" s="1567">
        <v>0</v>
      </c>
      <c r="K128" s="1567"/>
      <c r="L128" s="1571"/>
      <c r="M128" s="1567">
        <v>0</v>
      </c>
      <c r="N128" s="1571"/>
      <c r="O128" s="1567">
        <v>0</v>
      </c>
      <c r="P128" s="1567">
        <v>0</v>
      </c>
    </row>
    <row r="129" spans="2:18">
      <c r="B129" s="1504" t="s">
        <v>339</v>
      </c>
      <c r="C129" s="1561">
        <v>2037</v>
      </c>
      <c r="D129" s="1562">
        <v>0</v>
      </c>
      <c r="E129" s="1462">
        <v>0</v>
      </c>
      <c r="F129" s="1563">
        <v>0</v>
      </c>
      <c r="G129" s="1563">
        <v>0</v>
      </c>
      <c r="H129" s="1465">
        <v>0</v>
      </c>
      <c r="I129" s="1570">
        <v>0</v>
      </c>
      <c r="J129" s="1567">
        <v>0</v>
      </c>
      <c r="K129" s="1567"/>
      <c r="L129" s="1571"/>
      <c r="M129" s="1567">
        <v>0</v>
      </c>
      <c r="N129" s="1571"/>
      <c r="O129" s="1567">
        <v>0</v>
      </c>
      <c r="P129" s="1567">
        <v>0</v>
      </c>
    </row>
    <row r="130" spans="2:18">
      <c r="B130" s="1504" t="s">
        <v>339</v>
      </c>
      <c r="C130" s="1561">
        <v>2038</v>
      </c>
      <c r="D130" s="1562">
        <v>0</v>
      </c>
      <c r="E130" s="1462">
        <v>0</v>
      </c>
      <c r="F130" s="1563">
        <v>0</v>
      </c>
      <c r="G130" s="1563">
        <v>0</v>
      </c>
      <c r="H130" s="1465">
        <v>0</v>
      </c>
      <c r="I130" s="1570">
        <v>0</v>
      </c>
      <c r="J130" s="1567">
        <v>0</v>
      </c>
      <c r="K130" s="1567"/>
      <c r="L130" s="1571"/>
      <c r="M130" s="1567">
        <v>0</v>
      </c>
      <c r="N130" s="1571"/>
      <c r="O130" s="1567">
        <v>0</v>
      </c>
      <c r="P130" s="1567">
        <v>0</v>
      </c>
    </row>
    <row r="131" spans="2:18">
      <c r="B131" s="1504" t="s">
        <v>339</v>
      </c>
      <c r="C131" s="1561">
        <v>2039</v>
      </c>
      <c r="D131" s="1562">
        <v>0</v>
      </c>
      <c r="E131" s="1462">
        <v>0</v>
      </c>
      <c r="F131" s="1563">
        <v>0</v>
      </c>
      <c r="G131" s="1563">
        <v>0</v>
      </c>
      <c r="H131" s="1465">
        <v>0</v>
      </c>
      <c r="I131" s="1570">
        <v>0</v>
      </c>
      <c r="J131" s="1567">
        <v>0</v>
      </c>
      <c r="K131" s="1567"/>
      <c r="L131" s="1571"/>
      <c r="M131" s="1567">
        <v>0</v>
      </c>
      <c r="N131" s="1571"/>
      <c r="O131" s="1567">
        <v>0</v>
      </c>
      <c r="P131" s="1567">
        <v>0</v>
      </c>
    </row>
    <row r="132" spans="2:18">
      <c r="B132" s="1504" t="s">
        <v>339</v>
      </c>
      <c r="C132" s="1561">
        <v>2040</v>
      </c>
      <c r="D132" s="1562">
        <v>0</v>
      </c>
      <c r="E132" s="1462">
        <v>0</v>
      </c>
      <c r="F132" s="1563">
        <v>0</v>
      </c>
      <c r="G132" s="1563">
        <v>0</v>
      </c>
      <c r="H132" s="1465">
        <v>0</v>
      </c>
      <c r="I132" s="1570">
        <v>0</v>
      </c>
      <c r="J132" s="1567">
        <v>0</v>
      </c>
      <c r="K132" s="1567"/>
      <c r="L132" s="1571"/>
      <c r="M132" s="1567">
        <v>0</v>
      </c>
      <c r="N132" s="1571"/>
      <c r="O132" s="1567">
        <v>0</v>
      </c>
      <c r="P132" s="1567">
        <v>0</v>
      </c>
      <c r="R132" s="1486"/>
    </row>
    <row r="133" spans="2:18">
      <c r="B133" s="1504" t="s">
        <v>339</v>
      </c>
      <c r="C133" s="1561">
        <v>2041</v>
      </c>
      <c r="D133" s="1562">
        <v>0</v>
      </c>
      <c r="E133" s="1462">
        <v>0</v>
      </c>
      <c r="F133" s="1563">
        <v>0</v>
      </c>
      <c r="G133" s="1563">
        <v>0</v>
      </c>
      <c r="H133" s="1465">
        <v>0</v>
      </c>
      <c r="I133" s="1570">
        <v>0</v>
      </c>
      <c r="J133" s="1567">
        <v>0</v>
      </c>
      <c r="K133" s="1567"/>
      <c r="L133" s="1571"/>
      <c r="M133" s="1567">
        <v>0</v>
      </c>
      <c r="N133" s="1571"/>
      <c r="O133" s="1567">
        <v>0</v>
      </c>
      <c r="P133" s="1567">
        <v>0</v>
      </c>
      <c r="R133" s="1023"/>
    </row>
    <row r="134" spans="2:18">
      <c r="B134" s="1504" t="s">
        <v>339</v>
      </c>
      <c r="C134" s="1561">
        <v>2042</v>
      </c>
      <c r="D134" s="1562">
        <v>0</v>
      </c>
      <c r="E134" s="1462">
        <v>0</v>
      </c>
      <c r="F134" s="1563">
        <v>0</v>
      </c>
      <c r="G134" s="1563">
        <v>0</v>
      </c>
      <c r="H134" s="1465">
        <v>0</v>
      </c>
      <c r="I134" s="1570">
        <v>0</v>
      </c>
      <c r="J134" s="1567">
        <v>0</v>
      </c>
      <c r="K134" s="1567"/>
      <c r="L134" s="1571"/>
      <c r="M134" s="1567">
        <v>0</v>
      </c>
      <c r="N134" s="1571"/>
      <c r="O134" s="1567">
        <v>0</v>
      </c>
      <c r="P134" s="1567">
        <v>0</v>
      </c>
      <c r="R134" s="1023"/>
    </row>
    <row r="135" spans="2:18">
      <c r="B135" s="1504" t="s">
        <v>339</v>
      </c>
      <c r="C135" s="1561">
        <v>2043</v>
      </c>
      <c r="D135" s="1562">
        <v>0</v>
      </c>
      <c r="E135" s="1462">
        <v>0</v>
      </c>
      <c r="F135" s="1563">
        <v>0</v>
      </c>
      <c r="G135" s="1563">
        <v>0</v>
      </c>
      <c r="H135" s="1465">
        <v>0</v>
      </c>
      <c r="I135" s="1570">
        <v>0</v>
      </c>
      <c r="J135" s="1567">
        <v>0</v>
      </c>
      <c r="K135" s="1567"/>
      <c r="L135" s="1571"/>
      <c r="M135" s="1567">
        <v>0</v>
      </c>
      <c r="N135" s="1571"/>
      <c r="O135" s="1567">
        <v>0</v>
      </c>
      <c r="P135" s="1567">
        <v>0</v>
      </c>
      <c r="R135" s="1023"/>
    </row>
    <row r="136" spans="2:18">
      <c r="B136" s="1504" t="s">
        <v>339</v>
      </c>
      <c r="C136" s="1561">
        <v>2044</v>
      </c>
      <c r="D136" s="1562">
        <v>0</v>
      </c>
      <c r="E136" s="1462">
        <v>0</v>
      </c>
      <c r="F136" s="1563">
        <v>0</v>
      </c>
      <c r="G136" s="1563">
        <v>0</v>
      </c>
      <c r="H136" s="1465">
        <v>0</v>
      </c>
      <c r="I136" s="1570">
        <v>0</v>
      </c>
      <c r="J136" s="1567">
        <v>0</v>
      </c>
      <c r="K136" s="1567"/>
      <c r="L136" s="1571"/>
      <c r="M136" s="1567">
        <v>0</v>
      </c>
      <c r="N136" s="1571"/>
      <c r="O136" s="1567">
        <v>0</v>
      </c>
      <c r="P136" s="1567">
        <v>0</v>
      </c>
      <c r="R136" s="1023"/>
    </row>
    <row r="137" spans="2:18">
      <c r="B137" s="1504" t="s">
        <v>339</v>
      </c>
      <c r="C137" s="1561">
        <v>2045</v>
      </c>
      <c r="D137" s="1562">
        <v>0</v>
      </c>
      <c r="E137" s="1462">
        <v>0</v>
      </c>
      <c r="F137" s="1563">
        <v>0</v>
      </c>
      <c r="G137" s="1563">
        <v>0</v>
      </c>
      <c r="H137" s="1465">
        <v>0</v>
      </c>
      <c r="I137" s="1570">
        <v>0</v>
      </c>
      <c r="J137" s="1567">
        <v>0</v>
      </c>
      <c r="K137" s="1567"/>
      <c r="L137" s="1571"/>
      <c r="M137" s="1567">
        <v>0</v>
      </c>
      <c r="N137" s="1571"/>
      <c r="O137" s="1567">
        <v>0</v>
      </c>
      <c r="P137" s="1567">
        <v>0</v>
      </c>
      <c r="R137" s="1023"/>
    </row>
    <row r="138" spans="2:18">
      <c r="B138" s="1504" t="s">
        <v>339</v>
      </c>
      <c r="C138" s="1561">
        <v>2046</v>
      </c>
      <c r="D138" s="1562">
        <v>0</v>
      </c>
      <c r="E138" s="1462">
        <v>0</v>
      </c>
      <c r="F138" s="1563">
        <v>0</v>
      </c>
      <c r="G138" s="1563">
        <v>0</v>
      </c>
      <c r="H138" s="1465">
        <v>0</v>
      </c>
      <c r="I138" s="1570">
        <v>0</v>
      </c>
      <c r="J138" s="1567">
        <v>0</v>
      </c>
      <c r="K138" s="1567"/>
      <c r="L138" s="1571"/>
      <c r="M138" s="1567">
        <v>0</v>
      </c>
      <c r="N138" s="1571"/>
      <c r="O138" s="1567">
        <v>0</v>
      </c>
      <c r="P138" s="1567">
        <v>0</v>
      </c>
      <c r="R138" s="1023"/>
    </row>
    <row r="139" spans="2:18">
      <c r="B139" s="1504" t="s">
        <v>339</v>
      </c>
      <c r="C139" s="1561">
        <v>2047</v>
      </c>
      <c r="D139" s="1562">
        <v>0</v>
      </c>
      <c r="E139" s="1462">
        <v>0</v>
      </c>
      <c r="F139" s="1563">
        <v>0</v>
      </c>
      <c r="G139" s="1563">
        <v>0</v>
      </c>
      <c r="H139" s="1465">
        <v>0</v>
      </c>
      <c r="I139" s="1570">
        <v>0</v>
      </c>
      <c r="J139" s="1567">
        <v>0</v>
      </c>
      <c r="K139" s="1567"/>
      <c r="L139" s="1571"/>
      <c r="M139" s="1567">
        <v>0</v>
      </c>
      <c r="N139" s="1571"/>
      <c r="O139" s="1567">
        <v>0</v>
      </c>
      <c r="P139" s="1567">
        <v>0</v>
      </c>
      <c r="R139" s="1023"/>
    </row>
    <row r="140" spans="2:18">
      <c r="B140" s="1504" t="s">
        <v>339</v>
      </c>
      <c r="C140" s="1561">
        <v>2048</v>
      </c>
      <c r="D140" s="1562">
        <v>0</v>
      </c>
      <c r="E140" s="1462">
        <v>0</v>
      </c>
      <c r="F140" s="1563">
        <v>0</v>
      </c>
      <c r="G140" s="1563">
        <v>0</v>
      </c>
      <c r="H140" s="1465">
        <v>0</v>
      </c>
      <c r="I140" s="1570">
        <v>0</v>
      </c>
      <c r="J140" s="1567">
        <v>0</v>
      </c>
      <c r="K140" s="1567"/>
      <c r="L140" s="1571"/>
      <c r="M140" s="1567">
        <v>0</v>
      </c>
      <c r="N140" s="1571"/>
      <c r="O140" s="1567">
        <v>0</v>
      </c>
      <c r="P140" s="1567">
        <v>0</v>
      </c>
      <c r="R140" s="1023"/>
    </row>
    <row r="141" spans="2:18">
      <c r="B141" s="1504" t="s">
        <v>339</v>
      </c>
      <c r="C141" s="1561">
        <v>2049</v>
      </c>
      <c r="D141" s="1562">
        <v>0</v>
      </c>
      <c r="E141" s="1462">
        <v>0</v>
      </c>
      <c r="F141" s="1563">
        <v>0</v>
      </c>
      <c r="G141" s="1563">
        <v>0</v>
      </c>
      <c r="H141" s="1465">
        <v>0</v>
      </c>
      <c r="I141" s="1570">
        <v>0</v>
      </c>
      <c r="J141" s="1567">
        <v>0</v>
      </c>
      <c r="K141" s="1567"/>
      <c r="L141" s="1571"/>
      <c r="M141" s="1567">
        <v>0</v>
      </c>
      <c r="N141" s="1571"/>
      <c r="O141" s="1567">
        <v>0</v>
      </c>
      <c r="P141" s="1567">
        <v>0</v>
      </c>
      <c r="R141" s="1023"/>
    </row>
    <row r="142" spans="2:18">
      <c r="B142" s="1504" t="s">
        <v>339</v>
      </c>
      <c r="C142" s="1561">
        <v>2050</v>
      </c>
      <c r="D142" s="1562">
        <v>0</v>
      </c>
      <c r="E142" s="1462">
        <v>0</v>
      </c>
      <c r="F142" s="1563">
        <v>0</v>
      </c>
      <c r="G142" s="1563">
        <v>0</v>
      </c>
      <c r="H142" s="1465">
        <v>0</v>
      </c>
      <c r="I142" s="1570">
        <v>0</v>
      </c>
      <c r="J142" s="1567">
        <v>0</v>
      </c>
      <c r="K142" s="1567"/>
      <c r="L142" s="1571"/>
      <c r="M142" s="1567">
        <v>0</v>
      </c>
      <c r="N142" s="1571"/>
      <c r="O142" s="1567">
        <v>0</v>
      </c>
      <c r="P142" s="1567">
        <v>0</v>
      </c>
      <c r="R142" s="1023"/>
    </row>
    <row r="143" spans="2:18">
      <c r="B143" s="1504" t="s">
        <v>339</v>
      </c>
      <c r="C143" s="1561">
        <v>2051</v>
      </c>
      <c r="D143" s="1562">
        <v>0</v>
      </c>
      <c r="E143" s="1462">
        <v>0</v>
      </c>
      <c r="F143" s="1563">
        <v>0</v>
      </c>
      <c r="G143" s="1563">
        <v>0</v>
      </c>
      <c r="H143" s="1465">
        <v>0</v>
      </c>
      <c r="I143" s="1570">
        <v>0</v>
      </c>
      <c r="J143" s="1567">
        <v>0</v>
      </c>
      <c r="K143" s="1567"/>
      <c r="L143" s="1571"/>
      <c r="M143" s="1567">
        <v>0</v>
      </c>
      <c r="N143" s="1571"/>
      <c r="O143" s="1567">
        <v>0</v>
      </c>
      <c r="P143" s="1567">
        <v>0</v>
      </c>
      <c r="R143" s="1023"/>
    </row>
    <row r="144" spans="2:18">
      <c r="B144" s="1504" t="s">
        <v>339</v>
      </c>
      <c r="C144" s="1561">
        <v>2052</v>
      </c>
      <c r="D144" s="1562">
        <v>0</v>
      </c>
      <c r="E144" s="1462">
        <v>0</v>
      </c>
      <c r="F144" s="1563">
        <v>0</v>
      </c>
      <c r="G144" s="1563">
        <v>0</v>
      </c>
      <c r="H144" s="1465">
        <v>0</v>
      </c>
      <c r="I144" s="1570">
        <v>0</v>
      </c>
      <c r="J144" s="1567">
        <v>0</v>
      </c>
      <c r="K144" s="1567"/>
      <c r="L144" s="1571"/>
      <c r="M144" s="1567">
        <v>0</v>
      </c>
      <c r="N144" s="1571"/>
      <c r="O144" s="1567">
        <v>0</v>
      </c>
      <c r="P144" s="1567">
        <v>0</v>
      </c>
      <c r="R144" s="1023"/>
    </row>
    <row r="145" spans="2:18">
      <c r="B145" s="1504" t="s">
        <v>339</v>
      </c>
      <c r="C145" s="1561">
        <v>2053</v>
      </c>
      <c r="D145" s="1562">
        <v>0</v>
      </c>
      <c r="E145" s="1462">
        <v>0</v>
      </c>
      <c r="F145" s="1563">
        <v>0</v>
      </c>
      <c r="G145" s="1563">
        <v>0</v>
      </c>
      <c r="H145" s="1465">
        <v>0</v>
      </c>
      <c r="I145" s="1570">
        <v>0</v>
      </c>
      <c r="J145" s="1567">
        <v>0</v>
      </c>
      <c r="K145" s="1567"/>
      <c r="L145" s="1571"/>
      <c r="M145" s="1567">
        <v>0</v>
      </c>
      <c r="N145" s="1571"/>
      <c r="O145" s="1567">
        <v>0</v>
      </c>
      <c r="P145" s="1567">
        <v>0</v>
      </c>
      <c r="R145" s="1023"/>
    </row>
    <row r="146" spans="2:18">
      <c r="B146" s="1504" t="s">
        <v>339</v>
      </c>
      <c r="C146" s="1561">
        <v>2054</v>
      </c>
      <c r="D146" s="1562">
        <v>0</v>
      </c>
      <c r="E146" s="1462">
        <v>0</v>
      </c>
      <c r="F146" s="1563">
        <v>0</v>
      </c>
      <c r="G146" s="1563">
        <v>0</v>
      </c>
      <c r="H146" s="1465">
        <v>0</v>
      </c>
      <c r="I146" s="1570">
        <v>0</v>
      </c>
      <c r="J146" s="1567">
        <v>0</v>
      </c>
      <c r="K146" s="1567"/>
      <c r="L146" s="1571"/>
      <c r="M146" s="1567">
        <v>0</v>
      </c>
      <c r="N146" s="1571"/>
      <c r="O146" s="1567">
        <v>0</v>
      </c>
      <c r="P146" s="1567">
        <v>0</v>
      </c>
      <c r="R146" s="1023"/>
    </row>
    <row r="147" spans="2:18">
      <c r="B147" s="1504" t="s">
        <v>339</v>
      </c>
      <c r="C147" s="1561">
        <v>2055</v>
      </c>
      <c r="D147" s="1562">
        <v>0</v>
      </c>
      <c r="E147" s="1462">
        <v>0</v>
      </c>
      <c r="F147" s="1563">
        <v>0</v>
      </c>
      <c r="G147" s="1563">
        <v>0</v>
      </c>
      <c r="H147" s="1465">
        <v>0</v>
      </c>
      <c r="I147" s="1570">
        <v>0</v>
      </c>
      <c r="J147" s="1567">
        <v>0</v>
      </c>
      <c r="K147" s="1567"/>
      <c r="L147" s="1571"/>
      <c r="M147" s="1567">
        <v>0</v>
      </c>
      <c r="N147" s="1571"/>
      <c r="O147" s="1567">
        <v>0</v>
      </c>
      <c r="P147" s="1567">
        <v>0</v>
      </c>
      <c r="R147" s="1023"/>
    </row>
    <row r="148" spans="2:18">
      <c r="B148" s="1504" t="s">
        <v>339</v>
      </c>
      <c r="C148" s="1561">
        <v>2056</v>
      </c>
      <c r="D148" s="1562">
        <v>0</v>
      </c>
      <c r="E148" s="1462">
        <v>0</v>
      </c>
      <c r="F148" s="1563">
        <v>0</v>
      </c>
      <c r="G148" s="1563">
        <v>0</v>
      </c>
      <c r="H148" s="1465">
        <v>0</v>
      </c>
      <c r="I148" s="1570">
        <v>0</v>
      </c>
      <c r="J148" s="1567">
        <v>0</v>
      </c>
      <c r="K148" s="1567"/>
      <c r="L148" s="1571"/>
      <c r="M148" s="1567">
        <v>0</v>
      </c>
      <c r="N148" s="1571"/>
      <c r="O148" s="1567">
        <v>0</v>
      </c>
      <c r="P148" s="1567">
        <v>0</v>
      </c>
      <c r="R148" s="1023"/>
    </row>
    <row r="149" spans="2:18">
      <c r="B149" s="1504" t="s">
        <v>339</v>
      </c>
      <c r="C149" s="1561">
        <v>2057</v>
      </c>
      <c r="D149" s="1562">
        <v>0</v>
      </c>
      <c r="E149" s="1462">
        <v>0</v>
      </c>
      <c r="F149" s="1563">
        <v>0</v>
      </c>
      <c r="G149" s="1563">
        <v>0</v>
      </c>
      <c r="H149" s="1465">
        <v>0</v>
      </c>
      <c r="I149" s="1570">
        <v>0</v>
      </c>
      <c r="J149" s="1567">
        <v>0</v>
      </c>
      <c r="K149" s="1567"/>
      <c r="L149" s="1571"/>
      <c r="M149" s="1567">
        <v>0</v>
      </c>
      <c r="N149" s="1571"/>
      <c r="O149" s="1567">
        <v>0</v>
      </c>
      <c r="P149" s="1567">
        <v>0</v>
      </c>
      <c r="R149" s="1023"/>
    </row>
    <row r="150" spans="2:18">
      <c r="B150" s="1504" t="s">
        <v>339</v>
      </c>
      <c r="C150" s="1561">
        <v>2058</v>
      </c>
      <c r="D150" s="1562">
        <v>0</v>
      </c>
      <c r="E150" s="1462">
        <v>0</v>
      </c>
      <c r="F150" s="1563">
        <v>0</v>
      </c>
      <c r="G150" s="1563">
        <v>0</v>
      </c>
      <c r="H150" s="1465">
        <v>0</v>
      </c>
      <c r="I150" s="1570">
        <v>0</v>
      </c>
      <c r="J150" s="1567">
        <v>0</v>
      </c>
      <c r="K150" s="1567"/>
      <c r="L150" s="1571"/>
      <c r="M150" s="1567">
        <v>0</v>
      </c>
      <c r="N150" s="1571"/>
      <c r="O150" s="1567">
        <v>0</v>
      </c>
      <c r="P150" s="1567">
        <v>0</v>
      </c>
      <c r="R150" s="1023"/>
    </row>
    <row r="151" spans="2:18">
      <c r="B151" s="1504" t="s">
        <v>339</v>
      </c>
      <c r="C151" s="1561">
        <v>2059</v>
      </c>
      <c r="D151" s="1562">
        <v>0</v>
      </c>
      <c r="E151" s="1462">
        <v>0</v>
      </c>
      <c r="F151" s="1563">
        <v>0</v>
      </c>
      <c r="G151" s="1563">
        <v>0</v>
      </c>
      <c r="H151" s="1465">
        <v>0</v>
      </c>
      <c r="I151" s="1570">
        <v>0</v>
      </c>
      <c r="J151" s="1567">
        <v>0</v>
      </c>
      <c r="K151" s="1567"/>
      <c r="L151" s="1571"/>
      <c r="M151" s="1567">
        <v>0</v>
      </c>
      <c r="N151" s="1571"/>
      <c r="O151" s="1567">
        <v>0</v>
      </c>
      <c r="P151" s="1567">
        <v>0</v>
      </c>
      <c r="R151" s="1023"/>
    </row>
    <row r="152" spans="2:18">
      <c r="B152" s="1504" t="s">
        <v>339</v>
      </c>
      <c r="C152" s="1561">
        <v>2060</v>
      </c>
      <c r="D152" s="1562">
        <v>0</v>
      </c>
      <c r="E152" s="1462">
        <v>0</v>
      </c>
      <c r="F152" s="1563">
        <v>0</v>
      </c>
      <c r="G152" s="1563">
        <v>0</v>
      </c>
      <c r="H152" s="1465">
        <v>0</v>
      </c>
      <c r="I152" s="1570">
        <v>0</v>
      </c>
      <c r="J152" s="1567">
        <v>0</v>
      </c>
      <c r="K152" s="1567"/>
      <c r="L152" s="1571"/>
      <c r="M152" s="1567">
        <v>0</v>
      </c>
      <c r="N152" s="1571"/>
      <c r="O152" s="1567">
        <v>0</v>
      </c>
      <c r="P152" s="1567">
        <v>0</v>
      </c>
      <c r="R152" s="1023"/>
    </row>
    <row r="153" spans="2:18">
      <c r="B153" s="1504" t="s">
        <v>339</v>
      </c>
      <c r="C153" s="1561">
        <v>2061</v>
      </c>
      <c r="D153" s="1562">
        <v>0</v>
      </c>
      <c r="E153" s="1462">
        <v>0</v>
      </c>
      <c r="F153" s="1563">
        <v>0</v>
      </c>
      <c r="G153" s="1563">
        <v>0</v>
      </c>
      <c r="H153" s="1465">
        <v>0</v>
      </c>
      <c r="I153" s="1570">
        <v>0</v>
      </c>
      <c r="J153" s="1567">
        <v>0</v>
      </c>
      <c r="K153" s="1567"/>
      <c r="L153" s="1571"/>
      <c r="M153" s="1567">
        <v>0</v>
      </c>
      <c r="N153" s="1571"/>
      <c r="O153" s="1567">
        <v>0</v>
      </c>
      <c r="P153" s="1567">
        <v>0</v>
      </c>
      <c r="R153" s="1023"/>
    </row>
    <row r="154" spans="2:18">
      <c r="B154" s="1504" t="s">
        <v>339</v>
      </c>
      <c r="C154" s="1561">
        <v>2062</v>
      </c>
      <c r="D154" s="1562">
        <v>0</v>
      </c>
      <c r="E154" s="1462">
        <v>0</v>
      </c>
      <c r="F154" s="1563">
        <v>0</v>
      </c>
      <c r="G154" s="1563">
        <v>0</v>
      </c>
      <c r="H154" s="1465">
        <v>0</v>
      </c>
      <c r="I154" s="1570">
        <v>0</v>
      </c>
      <c r="J154" s="1567">
        <v>0</v>
      </c>
      <c r="K154" s="1567"/>
      <c r="L154" s="1571"/>
      <c r="M154" s="1567">
        <v>0</v>
      </c>
      <c r="N154" s="1571"/>
      <c r="O154" s="1567">
        <v>0</v>
      </c>
      <c r="P154" s="1567">
        <v>0</v>
      </c>
      <c r="R154" s="1023"/>
    </row>
    <row r="155" spans="2:18">
      <c r="B155" s="1504" t="s">
        <v>339</v>
      </c>
      <c r="C155" s="1561">
        <v>2063</v>
      </c>
      <c r="D155" s="1562">
        <v>0</v>
      </c>
      <c r="E155" s="1462">
        <v>0</v>
      </c>
      <c r="F155" s="1563">
        <v>0</v>
      </c>
      <c r="G155" s="1563">
        <v>0</v>
      </c>
      <c r="H155" s="1465">
        <v>0</v>
      </c>
      <c r="I155" s="1570">
        <v>0</v>
      </c>
      <c r="J155" s="1567">
        <v>0</v>
      </c>
      <c r="K155" s="1567"/>
      <c r="L155" s="1571"/>
      <c r="M155" s="1567">
        <v>0</v>
      </c>
      <c r="N155" s="1571"/>
      <c r="O155" s="1567">
        <v>0</v>
      </c>
      <c r="P155" s="1567">
        <v>0</v>
      </c>
      <c r="R155" s="1023"/>
    </row>
    <row r="156" spans="2:18">
      <c r="B156" s="1504" t="s">
        <v>339</v>
      </c>
      <c r="C156" s="1561">
        <v>2064</v>
      </c>
      <c r="D156" s="1562">
        <v>0</v>
      </c>
      <c r="E156" s="1462">
        <v>0</v>
      </c>
      <c r="F156" s="1563">
        <v>0</v>
      </c>
      <c r="G156" s="1563">
        <v>0</v>
      </c>
      <c r="H156" s="1465">
        <v>0</v>
      </c>
      <c r="I156" s="1570">
        <v>0</v>
      </c>
      <c r="J156" s="1567">
        <v>0</v>
      </c>
      <c r="K156" s="1567"/>
      <c r="L156" s="1571"/>
      <c r="M156" s="1567">
        <v>0</v>
      </c>
      <c r="N156" s="1571"/>
      <c r="O156" s="1567">
        <v>0</v>
      </c>
      <c r="P156" s="1567">
        <v>0</v>
      </c>
      <c r="R156" s="1023"/>
    </row>
    <row r="157" spans="2:18">
      <c r="B157" s="1504" t="s">
        <v>339</v>
      </c>
      <c r="C157" s="1561">
        <v>2065</v>
      </c>
      <c r="D157" s="1562">
        <v>0</v>
      </c>
      <c r="E157" s="1462">
        <v>0</v>
      </c>
      <c r="F157" s="1563">
        <v>0</v>
      </c>
      <c r="G157" s="1563">
        <v>0</v>
      </c>
      <c r="H157" s="1465">
        <v>0</v>
      </c>
      <c r="I157" s="1570">
        <v>0</v>
      </c>
      <c r="J157" s="1567">
        <v>0</v>
      </c>
      <c r="K157" s="1567"/>
      <c r="L157" s="1571"/>
      <c r="M157" s="1567">
        <v>0</v>
      </c>
      <c r="N157" s="1571"/>
      <c r="O157" s="1567">
        <v>0</v>
      </c>
      <c r="P157" s="1567">
        <v>0</v>
      </c>
      <c r="R157" s="1023"/>
    </row>
    <row r="158" spans="2:18">
      <c r="B158" s="1504" t="s">
        <v>339</v>
      </c>
      <c r="C158" s="1561">
        <v>2066</v>
      </c>
      <c r="D158" s="1562">
        <v>0</v>
      </c>
      <c r="E158" s="1462">
        <v>0</v>
      </c>
      <c r="F158" s="1563">
        <v>0</v>
      </c>
      <c r="G158" s="1563">
        <v>0</v>
      </c>
      <c r="H158" s="1465">
        <v>0</v>
      </c>
      <c r="I158" s="1570">
        <v>0</v>
      </c>
      <c r="J158" s="1567">
        <v>0</v>
      </c>
      <c r="K158" s="1567"/>
      <c r="L158" s="1571"/>
      <c r="M158" s="1567">
        <v>0</v>
      </c>
      <c r="N158" s="1571"/>
      <c r="O158" s="1567">
        <v>0</v>
      </c>
      <c r="P158" s="1567">
        <v>0</v>
      </c>
      <c r="R158" s="1023"/>
    </row>
    <row r="159" spans="2:18">
      <c r="B159" s="1504" t="s">
        <v>339</v>
      </c>
      <c r="C159" s="1561">
        <v>2067</v>
      </c>
      <c r="D159" s="1562">
        <v>0</v>
      </c>
      <c r="E159" s="1462">
        <v>0</v>
      </c>
      <c r="F159" s="1563">
        <v>0</v>
      </c>
      <c r="G159" s="1563">
        <v>0</v>
      </c>
      <c r="H159" s="1465">
        <v>0</v>
      </c>
      <c r="I159" s="1570">
        <v>0</v>
      </c>
      <c r="J159" s="1567">
        <v>0</v>
      </c>
      <c r="K159" s="1567"/>
      <c r="L159" s="1571"/>
      <c r="M159" s="1567">
        <v>0</v>
      </c>
      <c r="N159" s="1571"/>
      <c r="O159" s="1567">
        <v>0</v>
      </c>
      <c r="P159" s="1567">
        <v>0</v>
      </c>
      <c r="R159" s="1023"/>
    </row>
    <row r="160" spans="2:18" ht="13.5" thickBot="1">
      <c r="B160" s="1504" t="s">
        <v>339</v>
      </c>
      <c r="C160" s="1572">
        <v>2068</v>
      </c>
      <c r="D160" s="1573">
        <v>0</v>
      </c>
      <c r="E160" s="1468">
        <v>0</v>
      </c>
      <c r="F160" s="1574">
        <v>0</v>
      </c>
      <c r="G160" s="1574">
        <v>0</v>
      </c>
      <c r="H160" s="1469">
        <v>0</v>
      </c>
      <c r="I160" s="1575">
        <v>0</v>
      </c>
      <c r="J160" s="1576">
        <v>0</v>
      </c>
      <c r="K160" s="1567"/>
      <c r="L160" s="1577"/>
      <c r="M160" s="1576">
        <v>0</v>
      </c>
      <c r="N160" s="1577"/>
      <c r="O160" s="1576">
        <v>0</v>
      </c>
      <c r="P160" s="1576">
        <v>0</v>
      </c>
      <c r="R160" s="1023"/>
    </row>
    <row r="161" spans="2:18">
      <c r="B161" s="1369"/>
      <c r="C161" s="1562" t="s">
        <v>478</v>
      </c>
      <c r="D161" s="1400"/>
      <c r="E161" s="1400">
        <v>1035552</v>
      </c>
      <c r="F161" s="1400"/>
      <c r="G161" s="1400"/>
      <c r="H161" s="1400">
        <v>4670143.8157202108</v>
      </c>
      <c r="I161" s="1400">
        <v>4670143.8157202108</v>
      </c>
      <c r="J161" s="1400">
        <v>0</v>
      </c>
      <c r="K161" s="1400"/>
      <c r="L161" s="1400"/>
      <c r="M161" s="1400"/>
      <c r="N161" s="1400"/>
      <c r="O161" s="1400"/>
      <c r="P161" s="1369"/>
      <c r="R161" s="1023"/>
    </row>
    <row r="162" spans="2:18">
      <c r="B162" s="1369"/>
      <c r="C162" s="1369" t="s">
        <v>896</v>
      </c>
      <c r="D162" s="1504"/>
      <c r="E162" s="1369"/>
      <c r="F162" s="1369"/>
      <c r="G162" s="1369"/>
      <c r="H162" s="1369"/>
      <c r="I162" s="1395"/>
      <c r="J162" s="1395"/>
      <c r="K162" s="1400"/>
      <c r="L162" s="1395"/>
      <c r="M162" s="1395"/>
      <c r="N162" s="1395"/>
      <c r="O162" s="1395"/>
      <c r="P162" s="1369"/>
      <c r="R162" s="1023"/>
    </row>
    <row r="163" spans="2:18">
      <c r="B163" s="1369"/>
      <c r="C163" s="1369"/>
      <c r="D163" s="1504"/>
      <c r="E163" s="1369"/>
      <c r="F163" s="1369"/>
      <c r="G163" s="1369"/>
      <c r="H163" s="1369"/>
      <c r="I163" s="1395"/>
      <c r="J163" s="1395"/>
      <c r="K163" s="1400"/>
      <c r="L163" s="1395"/>
      <c r="M163" s="1395"/>
      <c r="N163" s="1395"/>
      <c r="O163" s="1395"/>
      <c r="P163" s="1369"/>
      <c r="R163" s="1023"/>
    </row>
    <row r="164" spans="2:18">
      <c r="B164" s="1369"/>
      <c r="C164" s="1578" t="s">
        <v>897</v>
      </c>
      <c r="D164" s="1504"/>
      <c r="E164" s="1369"/>
      <c r="F164" s="1369"/>
      <c r="G164" s="1369"/>
      <c r="H164" s="1369"/>
      <c r="I164" s="1395"/>
      <c r="J164" s="1395"/>
      <c r="K164" s="1400"/>
      <c r="L164" s="1395"/>
      <c r="M164" s="1395"/>
      <c r="N164" s="1395"/>
      <c r="O164" s="1395"/>
      <c r="P164" s="1369"/>
      <c r="R164" s="1023"/>
    </row>
    <row r="165" spans="2:18">
      <c r="B165" s="1369"/>
      <c r="C165" s="1525" t="s">
        <v>479</v>
      </c>
      <c r="D165" s="1562"/>
      <c r="E165" s="1562"/>
      <c r="F165" s="1562"/>
      <c r="G165" s="1562"/>
      <c r="H165" s="1400"/>
      <c r="I165" s="1400"/>
      <c r="J165" s="1579"/>
      <c r="K165" s="1579"/>
      <c r="L165" s="1579"/>
      <c r="M165" s="1579"/>
      <c r="N165" s="1579"/>
      <c r="O165" s="1579"/>
      <c r="P165" s="1369"/>
      <c r="R165" s="1023"/>
    </row>
    <row r="166" spans="2:18">
      <c r="B166" s="1369"/>
      <c r="C166" s="1525" t="s">
        <v>480</v>
      </c>
      <c r="D166" s="1562"/>
      <c r="E166" s="1562"/>
      <c r="F166" s="1562"/>
      <c r="G166" s="1562"/>
      <c r="H166" s="1400"/>
      <c r="I166" s="1400"/>
      <c r="J166" s="1579"/>
      <c r="K166" s="1579"/>
      <c r="L166" s="1579"/>
      <c r="M166" s="1579"/>
      <c r="N166" s="1579"/>
      <c r="O166" s="1579"/>
      <c r="P166" s="1369"/>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9"/>
  <sheetViews>
    <sheetView topLeftCell="A14" zoomScale="81" zoomScaleNormal="81" zoomScaleSheetLayoutView="75" zoomScalePageLayoutView="80" workbookViewId="0">
      <selection activeCell="K18" sqref="K18"/>
    </sheetView>
  </sheetViews>
  <sheetFormatPr defaultColWidth="9.140625" defaultRowHeight="15"/>
  <cols>
    <col min="1" max="1" width="4.7109375" style="1580" customWidth="1"/>
    <col min="2" max="2" width="7.42578125" style="1580" customWidth="1"/>
    <col min="3" max="6" width="12.7109375" style="1580" customWidth="1"/>
    <col min="7" max="7" width="17.140625" style="1580" customWidth="1"/>
    <col min="8" max="9" width="12.7109375" style="1580" customWidth="1"/>
    <col min="10" max="10" width="12" style="1580" customWidth="1"/>
    <col min="11" max="11" width="16.42578125" style="1580" bestFit="1" customWidth="1"/>
    <col min="12" max="12" width="22.140625" style="1580" bestFit="1" customWidth="1"/>
    <col min="13" max="13" width="22.140625" style="925" bestFit="1" customWidth="1"/>
    <col min="14" max="14" width="8.42578125" style="1580" customWidth="1"/>
    <col min="15" max="38" width="12.7109375" style="1580" customWidth="1"/>
    <col min="39" max="16384" width="9.140625" style="1580"/>
  </cols>
  <sheetData>
    <row r="1" spans="1:22">
      <c r="A1" s="1050"/>
    </row>
    <row r="2" spans="1:22" ht="15.75">
      <c r="N2" s="1581"/>
    </row>
    <row r="3" spans="1:22">
      <c r="A3" s="2447" t="str">
        <f>+'PSO TCOS'!F4</f>
        <v xml:space="preserve">AEP West SPP Member Operating Companies </v>
      </c>
      <c r="B3" s="2447"/>
      <c r="C3" s="2447"/>
      <c r="D3" s="2447"/>
      <c r="E3" s="2447"/>
      <c r="F3" s="2447"/>
      <c r="G3" s="2447"/>
      <c r="H3" s="2447"/>
      <c r="I3" s="2447"/>
      <c r="J3" s="2447"/>
      <c r="K3" s="2447"/>
      <c r="L3" s="2447"/>
      <c r="M3" s="2447"/>
      <c r="N3" s="2447"/>
    </row>
    <row r="4" spans="1:22">
      <c r="A4" s="2494" t="str">
        <f>+'PSO WS A-1 - Plant'!A3</f>
        <v xml:space="preserve">Actual / Projected 2018 Rate Year Cost of Service Formula Rate </v>
      </c>
      <c r="B4" s="2441"/>
      <c r="C4" s="2441"/>
      <c r="D4" s="2441"/>
      <c r="E4" s="2441"/>
      <c r="F4" s="2441"/>
      <c r="G4" s="2441"/>
      <c r="H4" s="2441"/>
      <c r="I4" s="2441"/>
      <c r="J4" s="2441"/>
      <c r="K4" s="2441"/>
      <c r="L4" s="2441"/>
      <c r="M4" s="2441"/>
      <c r="N4" s="2441"/>
    </row>
    <row r="5" spans="1:22" ht="15.75" customHeight="1">
      <c r="A5" s="2441" t="s">
        <v>857</v>
      </c>
      <c r="B5" s="2441"/>
      <c r="C5" s="2441"/>
      <c r="D5" s="2441"/>
      <c r="E5" s="2441"/>
      <c r="F5" s="2441"/>
      <c r="G5" s="2441"/>
      <c r="H5" s="2441"/>
      <c r="I5" s="2441"/>
      <c r="J5" s="2441"/>
      <c r="K5" s="2441"/>
      <c r="L5" s="2441"/>
      <c r="M5" s="2441"/>
      <c r="N5" s="2441"/>
      <c r="O5" s="940"/>
      <c r="P5" s="940"/>
      <c r="Q5" s="940"/>
      <c r="R5" s="940"/>
      <c r="S5" s="940"/>
      <c r="T5" s="940"/>
      <c r="U5" s="940"/>
    </row>
    <row r="6" spans="1:22" ht="15.75">
      <c r="A6" s="2479" t="str">
        <f>+'PSO TCOS'!F8</f>
        <v>PUBLIC SERVICE COMPANY OF OKLAHOMA</v>
      </c>
      <c r="B6" s="2479"/>
      <c r="C6" s="2479"/>
      <c r="D6" s="2479"/>
      <c r="E6" s="2479"/>
      <c r="F6" s="2479"/>
      <c r="G6" s="2479"/>
      <c r="H6" s="2479"/>
      <c r="I6" s="2479"/>
      <c r="J6" s="2479"/>
      <c r="K6" s="2479"/>
      <c r="L6" s="2479"/>
      <c r="M6" s="2479"/>
      <c r="N6" s="2479"/>
    </row>
    <row r="7" spans="1:22" ht="26.25">
      <c r="A7" s="1582"/>
      <c r="B7" s="1583"/>
      <c r="C7" s="1583"/>
      <c r="D7" s="1583"/>
      <c r="E7" s="1583"/>
      <c r="F7" s="1583"/>
      <c r="G7" s="1583"/>
      <c r="H7" s="1583"/>
      <c r="I7" s="1583"/>
      <c r="J7" s="1583"/>
      <c r="K7" s="1583"/>
      <c r="L7" s="1280"/>
      <c r="M7" s="1584"/>
    </row>
    <row r="8" spans="1:22" ht="20.25">
      <c r="A8" s="1585"/>
      <c r="B8" s="1583"/>
      <c r="C8" s="1583"/>
      <c r="D8" s="1583"/>
      <c r="E8" s="1583"/>
      <c r="F8" s="1583"/>
      <c r="G8" s="1583"/>
      <c r="H8" s="1583"/>
      <c r="I8" s="1583"/>
      <c r="J8" s="1583"/>
      <c r="K8" s="1583"/>
      <c r="L8" s="1583"/>
      <c r="M8" s="1586"/>
    </row>
    <row r="9" spans="1:22" ht="20.25">
      <c r="A9" s="1583"/>
      <c r="B9" s="1583"/>
      <c r="C9" s="1587"/>
      <c r="D9" s="1587"/>
      <c r="E9" s="1587"/>
      <c r="F9" s="1587"/>
      <c r="G9" s="1587"/>
      <c r="H9" s="1587"/>
      <c r="I9" s="1587"/>
      <c r="J9" s="1587"/>
      <c r="K9" s="1588" t="s">
        <v>321</v>
      </c>
      <c r="L9" s="1588" t="s">
        <v>212</v>
      </c>
      <c r="M9" s="1589"/>
      <c r="N9" s="1231"/>
      <c r="P9" s="1231"/>
      <c r="R9" s="1231"/>
      <c r="S9" s="1231"/>
      <c r="T9" s="1231"/>
      <c r="U9" s="1023"/>
      <c r="V9" s="1023"/>
    </row>
    <row r="10" spans="1:22" ht="20.25">
      <c r="A10" s="1587"/>
      <c r="B10" s="1590" t="s">
        <v>855</v>
      </c>
      <c r="C10" s="1587"/>
      <c r="D10" s="1587"/>
      <c r="E10" s="1587"/>
      <c r="F10" s="1587"/>
      <c r="G10" s="1587"/>
      <c r="H10" s="1587"/>
      <c r="I10" s="1587"/>
      <c r="J10" s="1583"/>
      <c r="K10" s="1588" t="s">
        <v>322</v>
      </c>
      <c r="L10" s="1588" t="s">
        <v>257</v>
      </c>
      <c r="M10" s="1588" t="s">
        <v>257</v>
      </c>
      <c r="N10" s="1231"/>
      <c r="O10" s="1231"/>
      <c r="P10" s="1231"/>
      <c r="Q10" s="1231"/>
      <c r="R10" s="1231"/>
      <c r="S10" s="1231"/>
      <c r="T10" s="1591"/>
      <c r="U10" s="1023"/>
      <c r="V10" s="1023"/>
    </row>
    <row r="11" spans="1:22" ht="20.25">
      <c r="A11" s="1587"/>
      <c r="B11" s="1592"/>
      <c r="C11" s="1583"/>
      <c r="D11" s="1587"/>
      <c r="E11" s="1587"/>
      <c r="F11" s="1587"/>
      <c r="G11" s="1587"/>
      <c r="H11" s="1587"/>
      <c r="I11" s="1587"/>
      <c r="J11" s="1583"/>
      <c r="K11" s="1587"/>
      <c r="L11" s="1587"/>
      <c r="M11" s="1593"/>
      <c r="N11" s="1231"/>
      <c r="O11" s="1231"/>
      <c r="P11" s="1231"/>
      <c r="Q11" s="1231"/>
      <c r="R11" s="1231"/>
      <c r="S11" s="1231"/>
      <c r="T11" s="1591"/>
      <c r="U11" s="1023"/>
      <c r="V11" s="1023"/>
    </row>
    <row r="12" spans="1:22" ht="20.25" customHeight="1">
      <c r="A12" s="1587"/>
      <c r="B12" s="1594">
        <v>1</v>
      </c>
      <c r="C12" s="1595" t="s">
        <v>899</v>
      </c>
      <c r="D12" s="1583"/>
      <c r="E12" s="1583"/>
      <c r="F12" s="1587"/>
      <c r="G12" s="1583"/>
      <c r="H12" s="1583"/>
      <c r="I12" s="1587"/>
      <c r="J12" s="1583"/>
      <c r="K12" s="1596">
        <v>2819195.61</v>
      </c>
      <c r="L12" s="1597">
        <f>+K12-M12</f>
        <v>2819195.61</v>
      </c>
      <c r="M12" s="1543">
        <v>0</v>
      </c>
      <c r="N12" s="1023"/>
      <c r="O12" s="1023"/>
      <c r="P12" s="1023"/>
      <c r="Q12" s="1023"/>
      <c r="R12" s="1023"/>
      <c r="S12" s="1023"/>
      <c r="T12" s="1231"/>
      <c r="U12" s="1023"/>
      <c r="V12" s="1023"/>
    </row>
    <row r="13" spans="1:22" ht="20.25" customHeight="1">
      <c r="A13" s="1587"/>
      <c r="B13" s="1594"/>
      <c r="C13" s="1592"/>
      <c r="D13" s="1583"/>
      <c r="E13" s="1583"/>
      <c r="F13" s="1587"/>
      <c r="G13" s="1583"/>
      <c r="H13" s="1583"/>
      <c r="I13" s="1587"/>
      <c r="J13" s="1583"/>
      <c r="K13" s="1598"/>
      <c r="L13" s="1599"/>
      <c r="M13" s="1599"/>
      <c r="N13" s="1023"/>
      <c r="O13" s="1023"/>
      <c r="P13" s="1023"/>
      <c r="Q13" s="1023"/>
      <c r="R13" s="1023"/>
      <c r="S13" s="1023"/>
      <c r="T13" s="1231"/>
      <c r="U13" s="1023"/>
      <c r="V13" s="1023"/>
    </row>
    <row r="14" spans="1:22" ht="19.5">
      <c r="A14" s="1587"/>
      <c r="B14" s="1594">
        <f>+B12+1</f>
        <v>2</v>
      </c>
      <c r="C14" s="249" t="s">
        <v>870</v>
      </c>
      <c r="D14" s="1583"/>
      <c r="E14" s="1583"/>
      <c r="F14" s="1587"/>
      <c r="G14" s="1583"/>
      <c r="H14" s="1599"/>
      <c r="I14" s="1587"/>
      <c r="J14" s="1583"/>
      <c r="K14" s="1596">
        <v>331215.99999999994</v>
      </c>
      <c r="L14" s="1597">
        <f>+K14-M14</f>
        <v>331215.99999999994</v>
      </c>
      <c r="M14" s="1543">
        <v>0</v>
      </c>
      <c r="N14" s="1023"/>
      <c r="O14" s="1023"/>
      <c r="P14" s="1023"/>
      <c r="Q14" s="1023"/>
      <c r="R14" s="1023"/>
      <c r="S14" s="1023"/>
      <c r="T14" s="1023"/>
      <c r="U14" s="1023"/>
      <c r="V14" s="1023"/>
    </row>
    <row r="15" spans="1:22" ht="20.25">
      <c r="A15" s="1587"/>
      <c r="B15" s="1594"/>
      <c r="C15" s="1592"/>
      <c r="D15" s="1583"/>
      <c r="E15" s="1583"/>
      <c r="F15" s="1587"/>
      <c r="G15" s="1583"/>
      <c r="H15" s="1599"/>
      <c r="I15" s="1587"/>
      <c r="J15" s="1587"/>
      <c r="K15" s="1598"/>
      <c r="L15" s="1587"/>
      <c r="M15" s="1600"/>
      <c r="N15" s="1023"/>
      <c r="O15" s="1023"/>
      <c r="P15" s="1023"/>
      <c r="Q15" s="1023"/>
      <c r="R15" s="1023"/>
      <c r="S15" s="1023"/>
      <c r="T15" s="1023"/>
      <c r="U15" s="1023"/>
      <c r="V15" s="1023"/>
    </row>
    <row r="16" spans="1:22" ht="18">
      <c r="A16" s="1587"/>
      <c r="C16" s="1595" t="s">
        <v>900</v>
      </c>
      <c r="D16" s="1583"/>
      <c r="E16" s="1583"/>
      <c r="F16" s="1587"/>
      <c r="G16" s="1583"/>
      <c r="H16" s="1583"/>
      <c r="I16" s="1587"/>
      <c r="J16" s="1587"/>
      <c r="K16" s="1598"/>
      <c r="L16" s="1597"/>
      <c r="M16" s="1601"/>
      <c r="N16" s="1023"/>
      <c r="O16" s="1023"/>
      <c r="P16" s="1023"/>
      <c r="Q16" s="1023"/>
      <c r="R16" s="1023"/>
      <c r="S16" s="1023"/>
      <c r="T16" s="1023"/>
      <c r="U16" s="1023"/>
      <c r="V16" s="1023"/>
    </row>
    <row r="17" spans="1:22" ht="19.5">
      <c r="A17" s="1587"/>
      <c r="B17" s="1594"/>
      <c r="C17" s="1602"/>
      <c r="D17" s="1589" t="s">
        <v>96</v>
      </c>
      <c r="E17" s="1583"/>
      <c r="F17" s="1587"/>
      <c r="G17" s="1603"/>
      <c r="H17" s="1599"/>
      <c r="I17" s="1587"/>
      <c r="J17" s="1587"/>
      <c r="K17" s="1596">
        <v>3385459.8200000003</v>
      </c>
      <c r="L17" s="1597">
        <f>+K17-M17</f>
        <v>3206150.0400000005</v>
      </c>
      <c r="M17" s="1596">
        <v>179309.77999999997</v>
      </c>
      <c r="N17" s="1023"/>
      <c r="O17" s="1023"/>
      <c r="P17" s="1023"/>
      <c r="Q17" s="1023"/>
      <c r="R17" s="1023"/>
      <c r="S17" s="1023"/>
      <c r="T17" s="1023"/>
      <c r="U17" s="1023"/>
      <c r="V17" s="1023"/>
    </row>
    <row r="18" spans="1:22" ht="19.5">
      <c r="A18" s="1587"/>
      <c r="B18" s="1594"/>
      <c r="C18" s="1604"/>
      <c r="D18" s="1589" t="s">
        <v>97</v>
      </c>
      <c r="E18" s="1583"/>
      <c r="F18" s="1587"/>
      <c r="G18" s="1603"/>
      <c r="H18" s="1599"/>
      <c r="I18" s="1587"/>
      <c r="J18" s="1587"/>
      <c r="K18" s="1596">
        <v>137378.81</v>
      </c>
      <c r="L18" s="1597">
        <f>+K18-M18</f>
        <v>71873.320000000007</v>
      </c>
      <c r="M18" s="1596">
        <v>65505.49</v>
      </c>
      <c r="N18" s="1023"/>
      <c r="O18" s="1023"/>
      <c r="P18" s="1023"/>
      <c r="Q18" s="1023"/>
      <c r="R18" s="1023"/>
      <c r="S18" s="1023"/>
      <c r="T18" s="1023"/>
      <c r="U18" s="1023"/>
      <c r="V18" s="1023"/>
    </row>
    <row r="19" spans="1:22" ht="19.5">
      <c r="A19" s="1587"/>
      <c r="B19" s="1594"/>
      <c r="C19" s="1604"/>
      <c r="D19" s="1589" t="s">
        <v>412</v>
      </c>
      <c r="E19" s="1583"/>
      <c r="F19" s="1587"/>
      <c r="G19" s="1603"/>
      <c r="H19" s="1599"/>
      <c r="I19" s="1587"/>
      <c r="J19" s="1587"/>
      <c r="K19" s="1596">
        <v>3301010.92</v>
      </c>
      <c r="L19" s="1597">
        <f>+K19-M19</f>
        <v>3301010.92</v>
      </c>
      <c r="M19" s="1596">
        <v>0</v>
      </c>
      <c r="O19" s="1023"/>
      <c r="P19" s="1023"/>
      <c r="Q19" s="1023"/>
      <c r="R19" s="1023"/>
      <c r="S19" s="1023"/>
      <c r="T19" s="1023"/>
      <c r="U19" s="1023"/>
      <c r="V19" s="1023"/>
    </row>
    <row r="20" spans="1:22" ht="19.5">
      <c r="A20" s="1587"/>
      <c r="B20" s="1594"/>
      <c r="C20" s="1604"/>
      <c r="D20" s="1605" t="s">
        <v>98</v>
      </c>
      <c r="E20" s="1583"/>
      <c r="F20" s="1587"/>
      <c r="G20" s="1603"/>
      <c r="H20" s="1599"/>
      <c r="I20" s="1587"/>
      <c r="J20" s="1587"/>
      <c r="K20" s="1596">
        <v>88329.44</v>
      </c>
      <c r="L20" s="1597">
        <f>+K20-M20</f>
        <v>35064.920000000006</v>
      </c>
      <c r="M20" s="1596">
        <v>53264.52</v>
      </c>
      <c r="N20" s="1023"/>
      <c r="O20" s="1023"/>
      <c r="P20" s="1023"/>
      <c r="Q20" s="1023"/>
      <c r="R20" s="1023"/>
      <c r="S20" s="1023"/>
      <c r="T20" s="1023"/>
      <c r="U20" s="1023"/>
      <c r="V20" s="1023"/>
    </row>
    <row r="21" spans="1:22" ht="19.5">
      <c r="A21" s="1587"/>
      <c r="B21" s="1594"/>
      <c r="C21" s="1604"/>
      <c r="D21" s="1605" t="s">
        <v>503</v>
      </c>
      <c r="E21" s="1583"/>
      <c r="F21" s="1587"/>
      <c r="G21" s="1603"/>
      <c r="H21" s="1599"/>
      <c r="I21" s="1587"/>
      <c r="J21" s="1587"/>
      <c r="K21" s="1596"/>
      <c r="L21" s="1597"/>
      <c r="M21" s="1596"/>
      <c r="N21" s="1023"/>
      <c r="O21" s="1023"/>
      <c r="P21" s="1023"/>
      <c r="Q21" s="1023"/>
      <c r="R21" s="1023"/>
      <c r="S21" s="1023"/>
      <c r="T21" s="1023"/>
      <c r="U21" s="1023"/>
      <c r="V21" s="1023"/>
    </row>
    <row r="22" spans="1:22" ht="19.5">
      <c r="A22" s="1587"/>
      <c r="B22" s="1594">
        <f>+B14+1</f>
        <v>3</v>
      </c>
      <c r="C22" s="1604"/>
      <c r="D22" s="1589" t="s">
        <v>502</v>
      </c>
      <c r="E22" s="1583"/>
      <c r="F22" s="1587"/>
      <c r="G22" s="1603"/>
      <c r="H22" s="1599"/>
      <c r="I22" s="1587"/>
      <c r="J22" s="1587"/>
      <c r="K22" s="1606">
        <f>SUM(K17:K21)</f>
        <v>6912178.9900000012</v>
      </c>
      <c r="L22" s="1597"/>
      <c r="M22" s="1606">
        <f>SUM(M17:M21)</f>
        <v>298079.78999999998</v>
      </c>
      <c r="N22" s="1023"/>
      <c r="O22" s="1023"/>
      <c r="P22" s="1023"/>
      <c r="Q22" s="1023"/>
      <c r="R22" s="1023"/>
      <c r="S22" s="1023"/>
      <c r="T22" s="1023"/>
      <c r="U22" s="1023"/>
      <c r="V22" s="1023"/>
    </row>
    <row r="23" spans="1:22" ht="19.5">
      <c r="A23" s="1587"/>
      <c r="B23" s="1594"/>
      <c r="C23" s="1599"/>
      <c r="D23" s="1583"/>
      <c r="E23" s="1583"/>
      <c r="F23" s="1587"/>
      <c r="G23" s="1603"/>
      <c r="H23" s="1599"/>
      <c r="I23" s="1587"/>
      <c r="J23" s="1587"/>
      <c r="K23" s="1587"/>
      <c r="L23" s="1587"/>
      <c r="M23" s="1599"/>
      <c r="N23" s="1023"/>
      <c r="O23" s="1023"/>
      <c r="P23" s="1023"/>
      <c r="Q23" s="1023"/>
      <c r="R23" s="1023"/>
      <c r="S23" s="1023"/>
      <c r="T23" s="1023"/>
      <c r="U23" s="1023"/>
      <c r="V23" s="1023"/>
    </row>
    <row r="24" spans="1:22" ht="19.5">
      <c r="A24" s="1587"/>
      <c r="B24" s="1594"/>
      <c r="C24" s="1607"/>
      <c r="D24" s="1583"/>
      <c r="E24" s="1583"/>
      <c r="F24" s="1587"/>
      <c r="G24" s="1603"/>
      <c r="H24" s="1599"/>
      <c r="I24" s="1587"/>
      <c r="J24" s="1587"/>
      <c r="K24" s="1587"/>
      <c r="L24" s="1587"/>
      <c r="M24" s="1599"/>
      <c r="N24" s="1023"/>
      <c r="O24" s="1023"/>
      <c r="P24" s="1023"/>
      <c r="Q24" s="1023"/>
      <c r="R24" s="1023"/>
      <c r="S24" s="1023"/>
      <c r="T24" s="1023"/>
      <c r="U24" s="1023"/>
      <c r="V24" s="1023"/>
    </row>
    <row r="25" spans="1:22" ht="19.5">
      <c r="A25" s="1587"/>
      <c r="B25" s="1594"/>
      <c r="C25" s="1599"/>
      <c r="D25" s="1583"/>
      <c r="E25" s="1583"/>
      <c r="F25" s="1587"/>
      <c r="G25" s="1603"/>
      <c r="H25" s="1599"/>
      <c r="I25" s="1587"/>
      <c r="J25" s="1587"/>
      <c r="K25" s="1587"/>
      <c r="L25" s="1587"/>
      <c r="M25" s="1599"/>
      <c r="N25" s="1023"/>
      <c r="O25" s="1023"/>
      <c r="P25" s="1023"/>
      <c r="Q25" s="1023"/>
      <c r="R25" s="1023"/>
      <c r="S25" s="1023"/>
      <c r="T25" s="1023"/>
      <c r="U25" s="1023"/>
      <c r="V25" s="1023"/>
    </row>
    <row r="26" spans="1:22" ht="19.5">
      <c r="A26" s="1587"/>
      <c r="B26" s="1594"/>
      <c r="C26" s="249" t="s">
        <v>859</v>
      </c>
      <c r="D26" s="1583"/>
      <c r="E26" s="1583"/>
      <c r="F26" s="1587"/>
      <c r="G26" s="1603"/>
      <c r="H26" s="1599"/>
      <c r="I26" s="1587"/>
      <c r="J26" s="1587"/>
      <c r="K26" s="1008"/>
      <c r="L26" s="1008"/>
      <c r="M26" s="1008"/>
      <c r="N26" s="1023"/>
      <c r="O26" s="1023"/>
      <c r="P26" s="1023"/>
      <c r="Q26" s="1023"/>
      <c r="R26" s="1023"/>
      <c r="S26" s="1023"/>
      <c r="T26" s="1023"/>
      <c r="U26" s="1023"/>
      <c r="V26" s="1023"/>
    </row>
    <row r="27" spans="1:22" ht="19.5">
      <c r="A27" s="1587"/>
      <c r="B27" s="1594"/>
      <c r="C27" s="926">
        <v>1</v>
      </c>
      <c r="D27" s="1589" t="s">
        <v>99</v>
      </c>
      <c r="E27" s="1583"/>
      <c r="F27" s="1587"/>
      <c r="G27" s="1603"/>
      <c r="H27" s="1599"/>
      <c r="I27" s="1587"/>
      <c r="J27" s="1587"/>
      <c r="K27" s="1608">
        <v>3530519.0400000005</v>
      </c>
      <c r="L27" s="1597">
        <f t="shared" ref="L27:L28" si="0">+K27-M27</f>
        <v>3223970.0400000005</v>
      </c>
      <c r="M27" s="1596">
        <v>306549</v>
      </c>
      <c r="N27" s="1023"/>
      <c r="O27" s="1023"/>
      <c r="P27" s="1023"/>
      <c r="Q27" s="1023"/>
      <c r="R27" s="1023"/>
      <c r="S27" s="1023"/>
      <c r="T27" s="1023"/>
      <c r="U27" s="1023"/>
      <c r="V27" s="1023"/>
    </row>
    <row r="28" spans="1:22" ht="19.5">
      <c r="A28" s="1587"/>
      <c r="B28" s="1594"/>
      <c r="C28" s="926">
        <v>2</v>
      </c>
      <c r="D28" s="1589" t="s">
        <v>860</v>
      </c>
      <c r="E28" s="1583"/>
      <c r="F28" s="1587"/>
      <c r="G28" s="1603"/>
      <c r="H28" s="1599"/>
      <c r="I28" s="1587"/>
      <c r="J28" s="1587"/>
      <c r="K28" s="1608">
        <v>4901498.43</v>
      </c>
      <c r="L28" s="1597">
        <f t="shared" si="0"/>
        <v>4901498.43</v>
      </c>
      <c r="M28" s="1596">
        <v>0</v>
      </c>
      <c r="N28" s="1023"/>
      <c r="O28" s="1023"/>
      <c r="P28" s="1023"/>
      <c r="Q28" s="1023"/>
      <c r="R28" s="1023"/>
      <c r="S28" s="1023"/>
      <c r="T28" s="1023"/>
      <c r="U28" s="1023"/>
      <c r="V28" s="1023"/>
    </row>
    <row r="29" spans="1:22" ht="19.5">
      <c r="A29" s="1587"/>
      <c r="B29" s="1594">
        <f>+B22+1</f>
        <v>4</v>
      </c>
      <c r="C29" s="249"/>
      <c r="D29" s="1589" t="s">
        <v>871</v>
      </c>
      <c r="E29" s="1583"/>
      <c r="F29" s="1587"/>
      <c r="G29" s="1603"/>
      <c r="H29" s="1599"/>
      <c r="I29" s="1587"/>
      <c r="J29" s="1587"/>
      <c r="K29" s="1609">
        <f>+SUM(K27:K28)</f>
        <v>8432017.4700000007</v>
      </c>
      <c r="L29" s="1597"/>
      <c r="M29" s="1609">
        <f>+SUM(M27:M28)</f>
        <v>306549</v>
      </c>
      <c r="N29" s="1023"/>
      <c r="O29" s="1023"/>
      <c r="P29" s="1023"/>
      <c r="Q29" s="1023"/>
      <c r="R29" s="1023"/>
      <c r="S29" s="1023"/>
      <c r="T29" s="1023"/>
      <c r="U29" s="1023"/>
      <c r="V29" s="1023"/>
    </row>
    <row r="30" spans="1:22" ht="19.5">
      <c r="A30" s="1587"/>
      <c r="B30" s="1594"/>
      <c r="E30" s="1583"/>
      <c r="F30" s="1587"/>
      <c r="G30" s="1603"/>
      <c r="H30" s="1599"/>
      <c r="I30" s="1587"/>
      <c r="J30" s="1587"/>
      <c r="M30" s="1580"/>
      <c r="N30" s="1023"/>
      <c r="O30" s="1023"/>
      <c r="P30" s="1023"/>
      <c r="Q30" s="1023"/>
      <c r="R30" s="1023"/>
      <c r="S30" s="1023"/>
      <c r="T30" s="1023"/>
      <c r="U30" s="1023"/>
      <c r="V30" s="1023"/>
    </row>
    <row r="31" spans="1:22" ht="20.25">
      <c r="A31" s="1587"/>
      <c r="B31" s="1594"/>
      <c r="C31" s="1592"/>
      <c r="D31" s="1583"/>
      <c r="E31" s="1583"/>
      <c r="F31" s="1587"/>
      <c r="G31" s="1603"/>
      <c r="H31" s="1599"/>
      <c r="I31" s="1587"/>
      <c r="J31" s="1587"/>
      <c r="K31" s="1587"/>
      <c r="L31" s="1587"/>
      <c r="M31" s="1610"/>
      <c r="N31" s="1023"/>
      <c r="O31" s="1023"/>
      <c r="P31" s="1023"/>
      <c r="Q31" s="1023"/>
      <c r="R31" s="1023"/>
      <c r="S31" s="1023"/>
      <c r="T31" s="1023"/>
      <c r="U31" s="1023"/>
      <c r="V31" s="1023"/>
    </row>
    <row r="32" spans="1:22" ht="20.25" customHeight="1">
      <c r="A32" s="1587"/>
      <c r="B32" s="1594"/>
      <c r="C32" s="249" t="s">
        <v>856</v>
      </c>
      <c r="D32" s="1583"/>
      <c r="E32" s="1583"/>
      <c r="F32" s="1587"/>
      <c r="G32" s="1583"/>
      <c r="H32" s="1583"/>
      <c r="I32" s="1587"/>
      <c r="J32" s="1587"/>
      <c r="K32" s="1583"/>
      <c r="L32" s="1583"/>
      <c r="M32" s="1596">
        <v>48292971.859000005</v>
      </c>
      <c r="N32" s="1023"/>
      <c r="O32" s="1023"/>
      <c r="P32" s="1023"/>
      <c r="Q32" s="1023"/>
      <c r="R32" s="1023"/>
      <c r="S32" s="1023"/>
      <c r="T32" s="1231"/>
      <c r="U32" s="1023"/>
      <c r="V32" s="1023"/>
    </row>
    <row r="33" spans="1:22" ht="19.899999999999999" customHeight="1">
      <c r="A33" s="1587"/>
      <c r="B33" s="1594"/>
      <c r="C33" s="1607"/>
      <c r="D33" s="1587"/>
      <c r="E33" s="1587"/>
      <c r="F33" s="1587"/>
      <c r="G33" s="1587"/>
      <c r="H33" s="1583"/>
      <c r="I33" s="1587"/>
      <c r="J33" s="1587"/>
      <c r="K33" s="1587"/>
      <c r="L33" s="1583"/>
      <c r="M33" s="1611"/>
      <c r="N33" s="1023"/>
      <c r="O33" s="1023"/>
      <c r="P33" s="1023"/>
      <c r="Q33" s="1023"/>
      <c r="R33" s="1023"/>
      <c r="S33" s="1023"/>
      <c r="T33" s="1198"/>
      <c r="U33" s="1023"/>
      <c r="V33" s="1023"/>
    </row>
    <row r="34" spans="1:22" ht="19.899999999999999" customHeight="1">
      <c r="A34" s="1587"/>
      <c r="B34" s="1594"/>
      <c r="C34" s="1612" t="s">
        <v>100</v>
      </c>
      <c r="D34" s="1583"/>
      <c r="E34" s="1587"/>
      <c r="F34" s="1583"/>
      <c r="G34" s="1587"/>
      <c r="H34" s="1587"/>
      <c r="I34" s="1587"/>
      <c r="J34" s="1587"/>
      <c r="K34" s="1587"/>
      <c r="L34" s="1583"/>
      <c r="M34" s="1611"/>
      <c r="N34" s="1023"/>
      <c r="O34" s="1023"/>
      <c r="P34" s="1023"/>
      <c r="Q34" s="1023"/>
      <c r="R34" s="1023"/>
      <c r="S34" s="1023"/>
      <c r="T34" s="1198"/>
      <c r="U34" s="1023"/>
      <c r="V34" s="1023"/>
    </row>
    <row r="35" spans="1:22" ht="19.899999999999999" customHeight="1">
      <c r="A35" s="1587"/>
      <c r="B35" s="1594"/>
      <c r="C35" s="926"/>
      <c r="D35" s="1613" t="s">
        <v>101</v>
      </c>
      <c r="E35" s="1614"/>
      <c r="F35" s="1583"/>
      <c r="G35" s="1587"/>
      <c r="H35" s="1587"/>
      <c r="I35" s="1587"/>
      <c r="J35" s="1587"/>
      <c r="K35" s="1587"/>
      <c r="L35" s="1583"/>
      <c r="M35" s="1596"/>
      <c r="N35" s="1023"/>
      <c r="O35" s="1023"/>
      <c r="P35" s="1023"/>
      <c r="Q35" s="1023"/>
      <c r="R35" s="1023"/>
      <c r="S35" s="1023"/>
      <c r="T35" s="1198"/>
      <c r="U35" s="1023"/>
      <c r="V35" s="1023"/>
    </row>
    <row r="36" spans="1:22" ht="19.899999999999999" customHeight="1">
      <c r="A36" s="1587"/>
      <c r="B36" s="1594"/>
      <c r="C36" s="926"/>
      <c r="D36" s="1613" t="s">
        <v>102</v>
      </c>
      <c r="E36" s="1614"/>
      <c r="F36" s="1583"/>
      <c r="G36" s="1587"/>
      <c r="H36" s="1587"/>
      <c r="I36" s="1587"/>
      <c r="J36" s="1587"/>
      <c r="K36" s="1587"/>
      <c r="L36" s="1583"/>
      <c r="M36" s="1596"/>
      <c r="N36" s="1023"/>
      <c r="O36" s="1023"/>
      <c r="P36" s="1023"/>
      <c r="Q36" s="1023"/>
      <c r="R36" s="1023"/>
      <c r="S36" s="1023"/>
      <c r="T36" s="1198"/>
      <c r="U36" s="1023"/>
      <c r="V36" s="1023"/>
    </row>
    <row r="37" spans="1:22" ht="19.899999999999999" customHeight="1">
      <c r="A37" s="1587"/>
      <c r="B37" s="1594"/>
      <c r="C37" s="926"/>
      <c r="D37" s="1613" t="s">
        <v>103</v>
      </c>
      <c r="E37" s="1614"/>
      <c r="F37" s="1583"/>
      <c r="G37" s="1587"/>
      <c r="H37" s="1587"/>
      <c r="I37" s="1587"/>
      <c r="J37" s="1587"/>
      <c r="K37" s="1587"/>
      <c r="L37" s="1583"/>
      <c r="M37" s="1596"/>
      <c r="N37" s="1023"/>
      <c r="O37" s="1023"/>
      <c r="P37" s="1023"/>
      <c r="Q37" s="1023"/>
      <c r="R37" s="1023"/>
      <c r="S37" s="1023"/>
      <c r="T37" s="1198"/>
      <c r="U37" s="1023"/>
      <c r="V37" s="1023"/>
    </row>
    <row r="38" spans="1:22" ht="19.899999999999999" customHeight="1">
      <c r="A38" s="1587"/>
      <c r="B38" s="1594"/>
      <c r="C38" s="926"/>
      <c r="D38" s="1613" t="s">
        <v>104</v>
      </c>
      <c r="E38" s="1614"/>
      <c r="F38" s="1583"/>
      <c r="G38" s="1587"/>
      <c r="H38" s="1587"/>
      <c r="I38" s="1587"/>
      <c r="J38" s="1587"/>
      <c r="K38" s="1583"/>
      <c r="L38" s="1583"/>
      <c r="M38" s="1596">
        <v>87675.160000000033</v>
      </c>
      <c r="N38" s="1023"/>
      <c r="O38" s="1023"/>
      <c r="P38" s="1023"/>
      <c r="Q38" s="1023"/>
      <c r="R38" s="1023"/>
      <c r="S38" s="1023"/>
      <c r="T38" s="1198"/>
      <c r="U38" s="1023"/>
      <c r="V38" s="1023"/>
    </row>
    <row r="39" spans="1:22" ht="19.899999999999999" customHeight="1">
      <c r="A39" s="1587"/>
      <c r="B39" s="1594"/>
      <c r="C39" s="926"/>
      <c r="D39" s="1613" t="s">
        <v>105</v>
      </c>
      <c r="E39" s="1615"/>
      <c r="F39" s="1583"/>
      <c r="G39" s="1587"/>
      <c r="H39" s="1587"/>
      <c r="I39" s="1587"/>
      <c r="J39" s="1587"/>
      <c r="K39" s="1587"/>
      <c r="L39" s="1583"/>
      <c r="M39" s="1596">
        <v>14778044.725</v>
      </c>
      <c r="N39" s="1023"/>
      <c r="O39" s="1023"/>
      <c r="P39" s="1023"/>
      <c r="Q39" s="1023"/>
      <c r="R39" s="1023"/>
      <c r="S39" s="1023"/>
      <c r="T39" s="1198"/>
      <c r="U39" s="1023"/>
      <c r="V39" s="1023"/>
    </row>
    <row r="40" spans="1:22" ht="19.899999999999999" customHeight="1">
      <c r="A40" s="1587"/>
      <c r="B40" s="1594"/>
      <c r="C40" s="926"/>
      <c r="D40" s="1613" t="s">
        <v>106</v>
      </c>
      <c r="E40" s="1614"/>
      <c r="F40" s="1587"/>
      <c r="G40" s="1587"/>
      <c r="H40" s="1587"/>
      <c r="I40" s="1587"/>
      <c r="J40" s="1587"/>
      <c r="K40" s="1587"/>
      <c r="L40" s="1583"/>
      <c r="M40" s="1596"/>
      <c r="N40" s="1023"/>
      <c r="O40" s="1023"/>
      <c r="P40" s="1023"/>
      <c r="Q40" s="1023"/>
      <c r="R40" s="1023"/>
      <c r="S40" s="1023"/>
      <c r="T40" s="1198"/>
      <c r="U40" s="1023"/>
      <c r="V40" s="1023"/>
    </row>
    <row r="41" spans="1:22" ht="19.899999999999999" customHeight="1">
      <c r="A41" s="1587"/>
      <c r="B41" s="1594"/>
      <c r="C41" s="926"/>
      <c r="D41" s="1613" t="s">
        <v>107</v>
      </c>
      <c r="E41" s="1614"/>
      <c r="F41" s="1587"/>
      <c r="G41" s="1587"/>
      <c r="H41" s="1587"/>
      <c r="I41" s="1587"/>
      <c r="J41" s="1587"/>
      <c r="K41" s="1587"/>
      <c r="L41" s="1583"/>
      <c r="M41" s="1596">
        <v>257186.68</v>
      </c>
      <c r="N41" s="1023"/>
      <c r="O41" s="1023"/>
      <c r="P41" s="1023"/>
      <c r="Q41" s="1023"/>
      <c r="R41" s="1023"/>
      <c r="S41" s="1023"/>
      <c r="T41" s="1198"/>
      <c r="U41" s="1023"/>
      <c r="V41" s="1023"/>
    </row>
    <row r="42" spans="1:22" ht="19.899999999999999" customHeight="1">
      <c r="A42" s="1587"/>
      <c r="B42" s="1594"/>
      <c r="C42" s="926"/>
      <c r="D42" s="1613" t="s">
        <v>108</v>
      </c>
      <c r="E42" s="1614"/>
      <c r="F42" s="1587"/>
      <c r="G42" s="1587"/>
      <c r="H42" s="1587"/>
      <c r="I42" s="1587"/>
      <c r="J42" s="1587"/>
      <c r="K42" s="1587"/>
      <c r="L42" s="1583"/>
      <c r="M42" s="1596">
        <v>1013725.8539999999</v>
      </c>
      <c r="N42" s="1023"/>
      <c r="O42" s="1023"/>
      <c r="P42" s="1023"/>
      <c r="Q42" s="1023"/>
      <c r="R42" s="1023"/>
      <c r="S42" s="1023"/>
      <c r="T42" s="1198"/>
      <c r="U42" s="1023"/>
      <c r="V42" s="1023"/>
    </row>
    <row r="43" spans="1:22" ht="19.899999999999999" customHeight="1">
      <c r="A43" s="1587"/>
      <c r="B43" s="1594"/>
      <c r="C43" s="926"/>
      <c r="D43" s="1613" t="s">
        <v>109</v>
      </c>
      <c r="E43" s="1614"/>
      <c r="F43" s="1587"/>
      <c r="G43" s="1587"/>
      <c r="H43" s="1587"/>
      <c r="I43" s="1587"/>
      <c r="J43" s="1587"/>
      <c r="K43" s="1587"/>
      <c r="L43" s="1583"/>
      <c r="M43" s="1596">
        <v>25398746.850000001</v>
      </c>
      <c r="N43" s="1023"/>
      <c r="O43" s="1023"/>
      <c r="P43" s="1023"/>
      <c r="Q43" s="1023"/>
      <c r="R43" s="1023"/>
      <c r="S43" s="1023"/>
      <c r="T43" s="1198"/>
      <c r="U43" s="1023"/>
      <c r="V43" s="1023"/>
    </row>
    <row r="44" spans="1:22" ht="19.899999999999999" customHeight="1">
      <c r="A44" s="1587"/>
      <c r="B44" s="1594"/>
      <c r="C44" s="926"/>
      <c r="D44" s="1616" t="s">
        <v>110</v>
      </c>
      <c r="E44" s="1614"/>
      <c r="F44" s="1587"/>
      <c r="G44" s="1587"/>
      <c r="H44" s="1587"/>
      <c r="I44" s="1587"/>
      <c r="J44" s="1587"/>
      <c r="K44" s="1587"/>
      <c r="L44" s="1583"/>
      <c r="M44" s="1596"/>
      <c r="N44" s="1023"/>
      <c r="O44" s="1023"/>
      <c r="P44" s="1023"/>
      <c r="Q44" s="1023"/>
      <c r="R44" s="1023"/>
      <c r="S44" s="1023"/>
      <c r="T44" s="1198"/>
      <c r="U44" s="1023"/>
      <c r="V44" s="1023"/>
    </row>
    <row r="45" spans="1:22" ht="19.899999999999999" customHeight="1">
      <c r="A45" s="1587"/>
      <c r="B45" s="1594"/>
      <c r="C45" s="926"/>
      <c r="D45" s="1617" t="s">
        <v>320</v>
      </c>
      <c r="E45" s="1614"/>
      <c r="F45" s="1587"/>
      <c r="G45" s="1587"/>
      <c r="H45" s="1587"/>
      <c r="I45" s="1587"/>
      <c r="J45" s="1587"/>
      <c r="K45" s="1587"/>
      <c r="L45" s="1583"/>
      <c r="M45" s="1596"/>
      <c r="N45" s="1023"/>
      <c r="O45" s="1023"/>
      <c r="P45" s="1023"/>
      <c r="Q45" s="1023"/>
      <c r="R45" s="1023"/>
      <c r="S45" s="1023"/>
      <c r="T45" s="1198"/>
      <c r="U45" s="1023"/>
      <c r="V45" s="1023"/>
    </row>
    <row r="46" spans="1:22" ht="19.899999999999999" customHeight="1">
      <c r="A46" s="1587"/>
      <c r="B46" s="1618">
        <f>+B29+1</f>
        <v>5</v>
      </c>
      <c r="C46" s="1619"/>
      <c r="D46" s="1619"/>
      <c r="E46" s="1619"/>
      <c r="F46" s="1619"/>
      <c r="G46" s="1619"/>
      <c r="H46" s="1619"/>
      <c r="I46" s="249" t="s">
        <v>901</v>
      </c>
      <c r="J46" s="1620"/>
      <c r="K46" s="1583"/>
      <c r="L46" s="1583"/>
      <c r="M46" s="1621">
        <f>+M32-SUM(M35:M45)</f>
        <v>6757592.5900000036</v>
      </c>
      <c r="N46" s="1023"/>
      <c r="O46" s="1023"/>
      <c r="P46" s="1023"/>
      <c r="Q46" s="1023"/>
      <c r="R46" s="1023"/>
      <c r="S46" s="1023"/>
      <c r="T46" s="1198"/>
      <c r="U46" s="1023"/>
      <c r="V46" s="1023"/>
    </row>
    <row r="47" spans="1:22" ht="19.899999999999999" customHeight="1">
      <c r="A47" s="1587"/>
      <c r="B47" s="1618"/>
      <c r="C47" s="1619"/>
      <c r="D47" s="1619"/>
      <c r="E47" s="1619"/>
      <c r="F47" s="1619"/>
      <c r="G47" s="1619"/>
      <c r="H47" s="1619"/>
      <c r="I47" s="1619"/>
      <c r="J47" s="1619"/>
      <c r="K47" s="1587"/>
      <c r="L47" s="1622"/>
      <c r="M47" s="1599"/>
      <c r="N47" s="1023"/>
      <c r="O47" s="1023"/>
      <c r="P47" s="1023"/>
      <c r="Q47" s="1023"/>
      <c r="R47" s="1023"/>
      <c r="S47" s="1023"/>
      <c r="T47" s="1198"/>
      <c r="U47" s="1023"/>
      <c r="V47" s="1023"/>
    </row>
    <row r="48" spans="1:22" ht="39.75" customHeight="1">
      <c r="A48" s="1587"/>
      <c r="B48" s="1618">
        <f>+B46+1</f>
        <v>6</v>
      </c>
      <c r="C48" s="2495" t="s">
        <v>852</v>
      </c>
      <c r="D48" s="2495"/>
      <c r="E48" s="2495"/>
      <c r="F48" s="2495"/>
      <c r="G48" s="2495"/>
      <c r="H48" s="2495"/>
      <c r="I48" s="2495"/>
      <c r="J48" s="2495"/>
      <c r="K48" s="1596">
        <v>0</v>
      </c>
      <c r="L48" s="1597"/>
      <c r="M48" s="1596">
        <v>0</v>
      </c>
      <c r="N48" s="1023"/>
      <c r="O48" s="1023"/>
      <c r="P48" s="1023"/>
      <c r="Q48" s="1023"/>
      <c r="R48" s="1023"/>
      <c r="S48" s="1023"/>
      <c r="T48" s="1198"/>
      <c r="U48" s="1023"/>
      <c r="V48" s="1023"/>
    </row>
    <row r="49" spans="1:22" ht="19.899999999999999" customHeight="1">
      <c r="A49" s="1587"/>
      <c r="B49" s="1618"/>
      <c r="C49" s="248"/>
      <c r="D49" s="1623"/>
      <c r="E49" s="1623"/>
      <c r="F49" s="1624"/>
      <c r="G49" s="1625"/>
      <c r="H49" s="1624"/>
      <c r="I49" s="1624"/>
      <c r="J49" s="1624"/>
      <c r="K49" s="1626"/>
      <c r="L49" s="1597"/>
      <c r="M49" s="1626"/>
      <c r="N49" s="1023"/>
      <c r="O49" s="1023"/>
      <c r="P49" s="1023"/>
      <c r="Q49" s="1023"/>
      <c r="R49" s="1023"/>
      <c r="S49" s="1023"/>
      <c r="T49" s="1198"/>
      <c r="U49" s="1023"/>
      <c r="V49" s="1023"/>
    </row>
    <row r="50" spans="1:22" ht="19.5">
      <c r="A50" s="1587"/>
      <c r="B50" s="1618">
        <f>+B48+1</f>
        <v>7</v>
      </c>
      <c r="C50" s="2495" t="s">
        <v>853</v>
      </c>
      <c r="D50" s="2495"/>
      <c r="E50" s="2495"/>
      <c r="F50" s="2495"/>
      <c r="G50" s="2495"/>
      <c r="H50" s="2495"/>
      <c r="I50" s="2495"/>
      <c r="J50" s="2495"/>
      <c r="K50" s="1596">
        <v>0</v>
      </c>
      <c r="L50" s="1597"/>
      <c r="M50" s="1596">
        <v>0</v>
      </c>
      <c r="N50" s="1023"/>
      <c r="O50" s="1023"/>
      <c r="P50" s="1023"/>
      <c r="Q50" s="1023"/>
      <c r="R50" s="1023"/>
      <c r="S50" s="1023"/>
      <c r="T50" s="1198"/>
      <c r="U50" s="1023"/>
      <c r="V50" s="1023"/>
    </row>
    <row r="51" spans="1:22" ht="19.899999999999999" customHeight="1">
      <c r="A51" s="1587"/>
      <c r="B51" s="1618"/>
      <c r="C51" s="249"/>
      <c r="D51" s="1620"/>
      <c r="E51" s="1620"/>
      <c r="F51" s="1619"/>
      <c r="G51" s="1627"/>
      <c r="H51" s="1619"/>
      <c r="I51" s="1619"/>
      <c r="J51" s="1619"/>
      <c r="K51" s="1626"/>
      <c r="L51" s="1597"/>
      <c r="M51" s="1626"/>
      <c r="N51" s="1023"/>
      <c r="O51" s="1023"/>
      <c r="P51" s="1023"/>
      <c r="Q51" s="1023"/>
      <c r="R51" s="1023"/>
      <c r="S51" s="1023"/>
      <c r="T51" s="1198"/>
      <c r="U51" s="1023"/>
      <c r="V51" s="1023"/>
    </row>
    <row r="52" spans="1:22" ht="20.25" customHeight="1" thickBot="1">
      <c r="A52" s="1587"/>
      <c r="B52" s="1618">
        <f>+B50+1</f>
        <v>8</v>
      </c>
      <c r="C52" s="249" t="str">
        <f>"Total Revenue Credits - Sum lines "&amp;B12&amp;" through "&amp;B50&amp;""</f>
        <v>Total Revenue Credits - Sum lines 1 through 7</v>
      </c>
      <c r="D52" s="1620"/>
      <c r="E52" s="1620"/>
      <c r="F52" s="1619"/>
      <c r="G52" s="1620"/>
      <c r="H52" s="1620"/>
      <c r="I52" s="1619"/>
      <c r="J52" s="1619"/>
      <c r="K52" s="1587"/>
      <c r="L52" s="1587"/>
      <c r="M52" s="1628">
        <f>+M12+M14+M22+M29+M46+M48+M50</f>
        <v>7362221.3800000036</v>
      </c>
      <c r="N52" s="1023"/>
      <c r="O52" s="1023"/>
      <c r="P52" s="1023"/>
      <c r="Q52" s="1023"/>
      <c r="R52" s="1023"/>
      <c r="S52" s="1023"/>
      <c r="T52" s="1231"/>
      <c r="U52" s="1023"/>
      <c r="V52" s="1023"/>
    </row>
    <row r="53" spans="1:22" ht="19.899999999999999" customHeight="1" thickTop="1">
      <c r="A53" s="1587"/>
      <c r="B53" s="1587"/>
      <c r="C53" s="1587"/>
      <c r="D53" s="783"/>
      <c r="E53" s="1587"/>
      <c r="F53" s="1587"/>
      <c r="G53" s="1587"/>
      <c r="H53" s="1587"/>
      <c r="I53" s="1587"/>
      <c r="J53" s="1587"/>
      <c r="K53" s="1587"/>
      <c r="L53" s="1622"/>
      <c r="M53" s="1023"/>
      <c r="N53" s="1023"/>
      <c r="O53" s="1023"/>
      <c r="P53" s="1023"/>
      <c r="Q53" s="1023"/>
      <c r="R53" s="1023"/>
      <c r="S53" s="1023"/>
      <c r="T53" s="1198"/>
      <c r="U53" s="1023"/>
      <c r="V53" s="1023"/>
    </row>
    <row r="54" spans="1:22" ht="20.25">
      <c r="A54" s="1587"/>
      <c r="B54" s="1629"/>
      <c r="C54" s="1629"/>
      <c r="D54" s="1583"/>
      <c r="E54" s="1583"/>
      <c r="F54" s="1630"/>
      <c r="G54" s="1630"/>
      <c r="H54" s="1630"/>
      <c r="I54" s="1630"/>
      <c r="J54" s="1630"/>
      <c r="K54" s="1630"/>
      <c r="L54" s="1631"/>
      <c r="M54" s="1023"/>
      <c r="N54" s="1425"/>
      <c r="O54" s="1425"/>
      <c r="P54" s="1425"/>
      <c r="Q54" s="1425"/>
      <c r="R54" s="1106"/>
      <c r="S54" s="1106"/>
      <c r="T54" s="1023"/>
      <c r="U54" s="1023"/>
      <c r="V54" s="1023"/>
    </row>
    <row r="55" spans="1:22" ht="12.75">
      <c r="A55" s="1587"/>
      <c r="B55" s="1587"/>
      <c r="C55" s="1583"/>
      <c r="D55" s="1583"/>
      <c r="E55" s="1583"/>
      <c r="F55" s="1630"/>
      <c r="G55" s="1630"/>
      <c r="H55" s="1630"/>
      <c r="I55" s="1630"/>
      <c r="J55" s="1630"/>
      <c r="K55" s="1630"/>
      <c r="L55" s="1587"/>
      <c r="M55" s="1023"/>
      <c r="N55" s="1425"/>
      <c r="O55" s="1425"/>
      <c r="P55" s="1425"/>
      <c r="Q55" s="1425"/>
      <c r="R55" s="1023"/>
      <c r="S55" s="1023"/>
      <c r="T55" s="1023"/>
      <c r="U55" s="1023"/>
      <c r="V55" s="1023"/>
    </row>
    <row r="56" spans="1:22">
      <c r="A56" s="1587"/>
      <c r="B56" s="1587"/>
      <c r="C56" s="1599" t="s">
        <v>854</v>
      </c>
      <c r="E56" s="1583"/>
      <c r="F56" s="1630"/>
      <c r="G56" s="1630"/>
      <c r="H56" s="1630"/>
      <c r="I56" s="1630"/>
      <c r="J56" s="1630"/>
      <c r="K56" s="1630"/>
      <c r="L56" s="1587"/>
      <c r="M56" s="1023"/>
      <c r="N56" s="1425"/>
      <c r="O56" s="1425"/>
      <c r="P56" s="1425"/>
      <c r="Q56" s="1425"/>
      <c r="R56" s="1023"/>
      <c r="S56" s="1023"/>
      <c r="T56" s="1023"/>
      <c r="U56" s="1023"/>
      <c r="V56" s="1023"/>
    </row>
    <row r="57" spans="1:22" ht="12.75" customHeight="1">
      <c r="A57" s="1023"/>
      <c r="B57" s="1023"/>
      <c r="C57" s="1023"/>
      <c r="D57" s="1023"/>
      <c r="E57" s="1023"/>
      <c r="F57" s="1023"/>
      <c r="G57" s="1023"/>
      <c r="H57" s="1023"/>
      <c r="I57" s="1023"/>
      <c r="J57" s="1023"/>
      <c r="K57" s="1023"/>
      <c r="L57" s="1023"/>
      <c r="M57" s="1023"/>
      <c r="N57" s="1023"/>
      <c r="O57" s="1023"/>
      <c r="P57" s="1023"/>
      <c r="Q57" s="1023"/>
      <c r="R57" s="1023"/>
      <c r="S57" s="1023"/>
      <c r="T57" s="1023"/>
      <c r="U57" s="1023"/>
      <c r="V57" s="1023"/>
    </row>
    <row r="58" spans="1:22" ht="12.75" customHeight="1">
      <c r="A58" s="1023"/>
      <c r="B58" s="1023"/>
      <c r="C58" s="1023"/>
      <c r="D58" s="1023"/>
      <c r="E58" s="1023"/>
      <c r="F58" s="1023"/>
      <c r="G58" s="1023"/>
      <c r="H58" s="1023"/>
      <c r="I58" s="1023"/>
      <c r="J58" s="1023"/>
      <c r="K58" s="1023"/>
      <c r="L58" s="1023"/>
      <c r="M58" s="1023"/>
      <c r="N58" s="1023"/>
      <c r="O58" s="1023"/>
      <c r="P58" s="1023"/>
      <c r="Q58" s="1023"/>
      <c r="R58" s="1023"/>
      <c r="S58" s="1023"/>
      <c r="T58" s="1023"/>
      <c r="U58" s="1023"/>
      <c r="V58" s="1023"/>
    </row>
    <row r="59" spans="1:22" ht="12.75" customHeight="1">
      <c r="A59" s="1023"/>
      <c r="B59" s="1023"/>
      <c r="C59" s="1023"/>
      <c r="D59" s="1023"/>
      <c r="E59" s="1023"/>
      <c r="F59" s="1023"/>
      <c r="G59" s="1023"/>
      <c r="H59" s="1023"/>
      <c r="I59" s="1023"/>
      <c r="J59" s="1023"/>
      <c r="K59" s="1023"/>
      <c r="L59" s="1023"/>
      <c r="M59" s="1023"/>
      <c r="N59" s="1023"/>
      <c r="O59" s="1023"/>
      <c r="P59" s="1023"/>
      <c r="Q59" s="1023"/>
      <c r="R59" s="1023"/>
      <c r="S59" s="1023"/>
      <c r="T59" s="1023"/>
      <c r="U59" s="1023"/>
      <c r="V59" s="1023"/>
    </row>
    <row r="60" spans="1:22" ht="12.75" customHeight="1">
      <c r="A60" s="1023"/>
      <c r="B60" s="1023"/>
      <c r="C60" s="1023"/>
      <c r="D60" s="1023"/>
      <c r="E60" s="1023"/>
      <c r="F60" s="1023"/>
      <c r="G60" s="1023"/>
      <c r="H60" s="1023"/>
      <c r="I60" s="1023"/>
      <c r="J60" s="1023"/>
      <c r="K60" s="1023"/>
      <c r="L60" s="1023"/>
      <c r="M60" s="1023"/>
      <c r="N60" s="1023"/>
      <c r="O60" s="1023"/>
      <c r="P60" s="1023"/>
      <c r="Q60" s="1023"/>
      <c r="R60" s="1023"/>
      <c r="S60" s="1023"/>
      <c r="T60" s="1023"/>
      <c r="U60" s="1023"/>
      <c r="V60" s="1023"/>
    </row>
    <row r="61" spans="1:22" ht="12.75" customHeight="1">
      <c r="A61" s="1023"/>
      <c r="B61" s="1023"/>
      <c r="C61" s="1023"/>
      <c r="D61" s="1023"/>
      <c r="E61" s="1023"/>
      <c r="F61" s="1023"/>
      <c r="G61" s="1023"/>
      <c r="H61" s="1023"/>
      <c r="I61" s="1023"/>
      <c r="J61" s="1023"/>
      <c r="K61" s="1023"/>
      <c r="L61" s="1023"/>
      <c r="M61" s="1023"/>
      <c r="N61" s="1023"/>
      <c r="O61" s="1023"/>
      <c r="P61" s="1023"/>
      <c r="Q61" s="1023"/>
      <c r="R61" s="1023"/>
      <c r="S61" s="1023"/>
      <c r="T61" s="1023"/>
      <c r="U61" s="1023"/>
      <c r="V61" s="1023"/>
    </row>
    <row r="62" spans="1:22" ht="12.75" customHeight="1">
      <c r="A62" s="1023"/>
      <c r="B62" s="1023"/>
      <c r="C62" s="1023"/>
      <c r="D62" s="1023"/>
      <c r="E62" s="1023"/>
      <c r="F62" s="1023"/>
      <c r="G62" s="1023"/>
      <c r="H62" s="1023"/>
      <c r="I62" s="1023"/>
      <c r="J62" s="1023"/>
      <c r="K62" s="1023"/>
      <c r="L62" s="1023"/>
      <c r="M62" s="1023"/>
      <c r="N62" s="1023"/>
      <c r="O62" s="1023"/>
      <c r="P62" s="1023"/>
      <c r="Q62" s="1023"/>
      <c r="R62" s="1023"/>
      <c r="S62" s="1023"/>
      <c r="T62" s="1023"/>
      <c r="U62" s="1023"/>
      <c r="V62" s="1023"/>
    </row>
    <row r="63" spans="1:22" ht="12.75" customHeight="1">
      <c r="A63" s="1023"/>
      <c r="B63" s="1023"/>
      <c r="C63" s="1023"/>
      <c r="D63" s="1023"/>
      <c r="E63" s="1023"/>
      <c r="F63" s="1023"/>
      <c r="G63" s="1023"/>
      <c r="H63" s="1023"/>
      <c r="I63" s="1023"/>
      <c r="J63" s="1023"/>
      <c r="K63" s="1023"/>
      <c r="L63" s="1023"/>
      <c r="M63" s="1023"/>
      <c r="N63" s="1023"/>
      <c r="O63" s="1023"/>
      <c r="P63" s="1023"/>
      <c r="Q63" s="1023"/>
      <c r="R63" s="1023"/>
      <c r="S63" s="1023"/>
      <c r="T63" s="1023"/>
      <c r="U63" s="1023"/>
      <c r="V63" s="1023"/>
    </row>
    <row r="64" spans="1:22" ht="12.75" customHeight="1">
      <c r="A64" s="1023"/>
      <c r="B64" s="1023"/>
      <c r="C64" s="1023"/>
      <c r="D64" s="1023"/>
      <c r="E64" s="1023"/>
      <c r="F64" s="1023"/>
      <c r="G64" s="1023"/>
      <c r="H64" s="1023"/>
      <c r="I64" s="1023"/>
      <c r="J64" s="1023"/>
      <c r="K64" s="1023"/>
      <c r="L64" s="1023"/>
      <c r="M64" s="1023"/>
      <c r="N64" s="1023"/>
      <c r="O64" s="1023"/>
      <c r="P64" s="1023"/>
      <c r="Q64" s="1023"/>
      <c r="R64" s="1023"/>
      <c r="S64" s="1023"/>
      <c r="T64" s="1023"/>
      <c r="U64" s="1023"/>
      <c r="V64" s="1023"/>
    </row>
    <row r="65" spans="1:22" ht="12.75" customHeight="1">
      <c r="A65" s="1023"/>
      <c r="B65" s="1023"/>
      <c r="C65" s="1023"/>
      <c r="D65" s="1023"/>
      <c r="E65" s="1023"/>
      <c r="F65" s="1023"/>
      <c r="G65" s="1023"/>
      <c r="H65" s="1023"/>
      <c r="I65" s="1023"/>
      <c r="J65" s="1023"/>
      <c r="K65" s="1023"/>
      <c r="L65" s="1023"/>
      <c r="M65" s="1023"/>
      <c r="N65" s="1023"/>
      <c r="O65" s="1023"/>
      <c r="P65" s="1023"/>
      <c r="Q65" s="1023"/>
      <c r="R65" s="1023"/>
      <c r="S65" s="1023"/>
      <c r="T65" s="1023"/>
      <c r="U65" s="1023"/>
      <c r="V65" s="1023"/>
    </row>
    <row r="66" spans="1:22" ht="12.75">
      <c r="A66" s="1023"/>
      <c r="B66" s="1023"/>
      <c r="C66" s="1023"/>
      <c r="D66" s="1023"/>
      <c r="E66" s="1023"/>
      <c r="F66" s="1023"/>
      <c r="G66" s="1023"/>
      <c r="H66" s="1023"/>
      <c r="I66" s="1023"/>
      <c r="J66" s="1023"/>
      <c r="K66" s="1023"/>
      <c r="L66" s="1023"/>
      <c r="M66" s="1023"/>
      <c r="N66" s="1023"/>
      <c r="O66" s="1023"/>
      <c r="P66" s="1023"/>
      <c r="Q66" s="1023"/>
      <c r="R66" s="1023"/>
      <c r="S66" s="1023"/>
      <c r="T66" s="1023"/>
      <c r="U66" s="1023"/>
      <c r="V66" s="1023"/>
    </row>
    <row r="67" spans="1:22" ht="12.75">
      <c r="A67" s="1023"/>
      <c r="B67" s="1023"/>
      <c r="C67" s="1023"/>
      <c r="D67" s="1023"/>
      <c r="E67" s="1023"/>
      <c r="F67" s="1023"/>
      <c r="G67" s="1023"/>
      <c r="H67" s="1023"/>
      <c r="I67" s="1023"/>
      <c r="J67" s="1023"/>
      <c r="K67" s="1023"/>
      <c r="L67" s="1023"/>
      <c r="M67" s="1023"/>
      <c r="N67" s="1023"/>
      <c r="O67" s="1023"/>
      <c r="P67" s="1023"/>
      <c r="Q67" s="1023"/>
      <c r="R67" s="1023"/>
      <c r="S67" s="1023"/>
      <c r="T67" s="1023"/>
      <c r="U67" s="1023"/>
      <c r="V67" s="1023"/>
    </row>
    <row r="68" spans="1:22" ht="12.75">
      <c r="A68" s="1023"/>
      <c r="B68" s="1023"/>
      <c r="C68" s="1023"/>
      <c r="D68" s="1023"/>
      <c r="E68" s="1023"/>
      <c r="F68" s="1023"/>
      <c r="G68" s="1023"/>
      <c r="H68" s="1023"/>
      <c r="I68" s="1023"/>
      <c r="J68" s="1023"/>
      <c r="K68" s="1023"/>
      <c r="L68" s="1023"/>
      <c r="M68" s="1023"/>
      <c r="N68" s="1023"/>
      <c r="O68" s="1023"/>
      <c r="P68" s="1023"/>
      <c r="Q68" s="1023"/>
      <c r="R68" s="1023"/>
      <c r="S68" s="1023"/>
      <c r="T68" s="1023"/>
      <c r="U68" s="1023"/>
      <c r="V68" s="1023"/>
    </row>
    <row r="69" spans="1:22" ht="12.75">
      <c r="A69" s="1023"/>
      <c r="B69" s="1023"/>
      <c r="C69" s="1023"/>
      <c r="D69" s="1023"/>
      <c r="E69" s="1023"/>
      <c r="F69" s="1023"/>
      <c r="G69" s="1023"/>
      <c r="H69" s="1023"/>
      <c r="I69" s="1023"/>
      <c r="J69" s="1023"/>
      <c r="K69" s="1023"/>
      <c r="L69" s="1023"/>
      <c r="M69" s="1023"/>
      <c r="N69" s="1023"/>
      <c r="O69" s="1023"/>
      <c r="P69" s="1023"/>
      <c r="Q69" s="1023"/>
      <c r="R69" s="1023"/>
      <c r="S69" s="1023"/>
      <c r="T69" s="1023"/>
      <c r="U69" s="1023"/>
      <c r="V69" s="1023"/>
    </row>
    <row r="70" spans="1:22" ht="12.75">
      <c r="A70" s="1023"/>
      <c r="B70" s="1023"/>
      <c r="C70" s="1023"/>
      <c r="D70" s="1023"/>
      <c r="E70" s="1023"/>
      <c r="F70" s="1023"/>
      <c r="G70" s="1023"/>
      <c r="H70" s="1023"/>
      <c r="I70" s="1023"/>
      <c r="J70" s="1023"/>
      <c r="K70" s="1023"/>
      <c r="L70" s="1023"/>
      <c r="M70" s="1023"/>
      <c r="N70" s="1023"/>
      <c r="O70" s="1023"/>
      <c r="P70" s="1023"/>
      <c r="Q70" s="1023"/>
      <c r="R70" s="1023"/>
      <c r="S70" s="1023"/>
      <c r="T70" s="1023"/>
      <c r="U70" s="1023"/>
      <c r="V70" s="1023"/>
    </row>
    <row r="71" spans="1:22" ht="12.75">
      <c r="A71" s="1023"/>
      <c r="B71" s="1023"/>
      <c r="C71" s="1023"/>
      <c r="D71" s="1023"/>
      <c r="E71" s="1023"/>
      <c r="F71" s="1023"/>
      <c r="G71" s="1023"/>
      <c r="H71" s="1023"/>
      <c r="I71" s="1023"/>
      <c r="J71" s="1023"/>
      <c r="K71" s="1023"/>
      <c r="L71" s="1023"/>
      <c r="M71" s="1023"/>
      <c r="N71" s="1023"/>
      <c r="O71" s="1023"/>
      <c r="P71" s="1023"/>
      <c r="Q71" s="1023"/>
      <c r="R71" s="1023"/>
      <c r="S71" s="1023"/>
      <c r="T71" s="1023"/>
      <c r="U71" s="1023"/>
      <c r="V71" s="1023"/>
    </row>
    <row r="72" spans="1:22" ht="12.75">
      <c r="A72" s="1023"/>
      <c r="B72" s="1023"/>
      <c r="C72" s="1023"/>
      <c r="D72" s="1023"/>
      <c r="E72" s="1023"/>
      <c r="F72" s="1023"/>
      <c r="G72" s="1023"/>
      <c r="H72" s="1023"/>
      <c r="I72" s="1023"/>
      <c r="J72" s="1023"/>
      <c r="K72" s="1023"/>
      <c r="L72" s="1023"/>
      <c r="M72" s="1023"/>
      <c r="N72" s="1023"/>
      <c r="O72" s="1023"/>
      <c r="P72" s="1023"/>
      <c r="Q72" s="1023"/>
      <c r="R72" s="1023"/>
      <c r="S72" s="1023"/>
      <c r="T72" s="1023"/>
      <c r="U72" s="1023"/>
      <c r="V72" s="1023"/>
    </row>
    <row r="73" spans="1:22" ht="12.75">
      <c r="A73" s="1023"/>
      <c r="B73" s="1023"/>
      <c r="C73" s="1023"/>
      <c r="D73" s="1023"/>
      <c r="E73" s="1023"/>
      <c r="F73" s="1023"/>
      <c r="G73" s="1023"/>
      <c r="H73" s="1023"/>
      <c r="I73" s="1023"/>
      <c r="J73" s="1023"/>
      <c r="K73" s="1023"/>
      <c r="L73" s="1023"/>
      <c r="M73" s="1023"/>
      <c r="N73" s="1023"/>
      <c r="O73" s="1023"/>
      <c r="P73" s="1023"/>
      <c r="Q73" s="1023"/>
      <c r="R73" s="1023"/>
      <c r="S73" s="1023"/>
      <c r="T73" s="1023"/>
      <c r="U73" s="1023"/>
      <c r="V73" s="1023"/>
    </row>
    <row r="74" spans="1:22" ht="12.75">
      <c r="A74" s="1023"/>
      <c r="B74" s="1023"/>
      <c r="C74" s="1023"/>
      <c r="D74" s="1023"/>
      <c r="E74" s="1023"/>
      <c r="F74" s="1023"/>
      <c r="G74" s="1023"/>
      <c r="H74" s="1023"/>
      <c r="I74" s="1023"/>
      <c r="J74" s="1023"/>
      <c r="K74" s="1023"/>
      <c r="L74" s="1023"/>
      <c r="M74" s="1023"/>
      <c r="N74" s="1023"/>
      <c r="O74" s="1023"/>
      <c r="P74" s="1023"/>
      <c r="Q74" s="1023"/>
      <c r="R74" s="1023"/>
      <c r="S74" s="1023"/>
      <c r="T74" s="1023"/>
      <c r="U74" s="1023"/>
      <c r="V74" s="1023"/>
    </row>
    <row r="75" spans="1:22" ht="12.75">
      <c r="A75" s="1023"/>
      <c r="B75" s="1023"/>
      <c r="C75" s="1023"/>
      <c r="D75" s="1023"/>
      <c r="E75" s="1023"/>
      <c r="F75" s="1023"/>
      <c r="G75" s="1023"/>
      <c r="H75" s="1023"/>
      <c r="I75" s="1023"/>
      <c r="J75" s="1023"/>
      <c r="K75" s="1023"/>
      <c r="L75" s="1023"/>
      <c r="M75" s="1023"/>
      <c r="N75" s="1023"/>
      <c r="O75" s="1023"/>
      <c r="P75" s="1023"/>
      <c r="Q75" s="1023"/>
      <c r="R75" s="1023"/>
      <c r="S75" s="1023"/>
      <c r="T75" s="1023"/>
      <c r="U75" s="1023"/>
      <c r="V75" s="1023"/>
    </row>
    <row r="76" spans="1:22" ht="12.75">
      <c r="A76" s="1023"/>
      <c r="B76" s="1023"/>
      <c r="C76" s="1023"/>
      <c r="D76" s="1023"/>
      <c r="E76" s="1023"/>
      <c r="F76" s="1023"/>
      <c r="G76" s="1023"/>
      <c r="H76" s="1023"/>
      <c r="I76" s="1023"/>
      <c r="J76" s="1023"/>
      <c r="K76" s="1023"/>
      <c r="L76" s="1023"/>
      <c r="M76" s="1023"/>
      <c r="N76" s="1023"/>
      <c r="O76" s="1023"/>
      <c r="P76" s="1023"/>
      <c r="Q76" s="1023"/>
      <c r="R76" s="1023"/>
      <c r="S76" s="1023"/>
      <c r="T76" s="1023"/>
      <c r="U76" s="1023"/>
      <c r="V76" s="1023"/>
    </row>
    <row r="77" spans="1:22" ht="12.75">
      <c r="A77" s="1023"/>
      <c r="B77" s="1023"/>
      <c r="C77" s="1023"/>
      <c r="D77" s="1023"/>
      <c r="E77" s="1023"/>
      <c r="F77" s="1023"/>
      <c r="G77" s="1023"/>
      <c r="H77" s="1023"/>
      <c r="I77" s="1023"/>
      <c r="J77" s="1023"/>
      <c r="K77" s="1023"/>
      <c r="L77" s="1023"/>
      <c r="M77" s="1023"/>
      <c r="N77" s="1023"/>
      <c r="O77" s="1023"/>
      <c r="P77" s="1023"/>
      <c r="Q77" s="1023"/>
      <c r="R77" s="1023"/>
      <c r="S77" s="1023"/>
      <c r="T77" s="1023"/>
      <c r="U77" s="1023"/>
      <c r="V77" s="1023"/>
    </row>
    <row r="78" spans="1:22" ht="12.75">
      <c r="A78" s="1023"/>
      <c r="B78" s="1023"/>
      <c r="C78" s="1023"/>
      <c r="D78" s="1023"/>
      <c r="E78" s="1023"/>
      <c r="F78" s="1023"/>
      <c r="G78" s="1023"/>
      <c r="H78" s="1023"/>
      <c r="I78" s="1023"/>
      <c r="J78" s="1023"/>
      <c r="K78" s="1023"/>
      <c r="L78" s="1023"/>
      <c r="M78" s="1023"/>
      <c r="N78" s="1023"/>
      <c r="O78" s="1023"/>
      <c r="P78" s="1023"/>
      <c r="Q78" s="1023"/>
      <c r="R78" s="1023"/>
      <c r="S78" s="1023"/>
      <c r="T78" s="1023"/>
      <c r="U78" s="1023"/>
      <c r="V78" s="1023"/>
    </row>
    <row r="79" spans="1:22" ht="12.75">
      <c r="A79" s="1023"/>
      <c r="B79" s="1023"/>
      <c r="C79" s="1023"/>
      <c r="D79" s="1023"/>
      <c r="E79" s="1023"/>
      <c r="F79" s="1023"/>
      <c r="G79" s="1023"/>
      <c r="H79" s="1023"/>
      <c r="I79" s="1023"/>
      <c r="J79" s="1023"/>
      <c r="K79" s="1023"/>
      <c r="L79" s="1023"/>
      <c r="M79" s="1023"/>
      <c r="N79" s="1023"/>
      <c r="O79" s="1023"/>
      <c r="P79" s="1023"/>
      <c r="Q79" s="1023"/>
      <c r="R79" s="1023"/>
      <c r="S79" s="1023"/>
      <c r="T79" s="1023"/>
      <c r="U79" s="1023"/>
      <c r="V79" s="1023"/>
    </row>
    <row r="80" spans="1:22" ht="12.75">
      <c r="A80" s="1023"/>
      <c r="B80" s="1023"/>
      <c r="C80" s="1023"/>
      <c r="D80" s="1023"/>
      <c r="E80" s="1023"/>
      <c r="F80" s="1023"/>
      <c r="G80" s="1023"/>
      <c r="H80" s="1023"/>
      <c r="I80" s="1023"/>
      <c r="J80" s="1023"/>
      <c r="K80" s="1023"/>
      <c r="L80" s="1023"/>
      <c r="M80" s="1023"/>
      <c r="N80" s="1023"/>
      <c r="O80" s="1023"/>
      <c r="P80" s="1023"/>
      <c r="Q80" s="1023"/>
      <c r="R80" s="1023"/>
      <c r="S80" s="1023"/>
      <c r="T80" s="1023"/>
      <c r="U80" s="1023"/>
      <c r="V80" s="1023"/>
    </row>
    <row r="81" spans="1:22" ht="12.75">
      <c r="A81" s="1023"/>
      <c r="B81" s="1023"/>
      <c r="C81" s="1023"/>
      <c r="D81" s="1023"/>
      <c r="E81" s="1023"/>
      <c r="F81" s="1023"/>
      <c r="G81" s="1023"/>
      <c r="H81" s="1023"/>
      <c r="I81" s="1023"/>
      <c r="J81" s="1023"/>
      <c r="K81" s="1023"/>
      <c r="L81" s="1023"/>
      <c r="M81" s="1023"/>
      <c r="N81" s="1023"/>
      <c r="O81" s="1023"/>
      <c r="P81" s="1023"/>
      <c r="Q81" s="1023"/>
      <c r="R81" s="1023"/>
      <c r="S81" s="1023"/>
      <c r="T81" s="1023"/>
      <c r="U81" s="1023"/>
      <c r="V81" s="1023"/>
    </row>
    <row r="82" spans="1:22" ht="12.75">
      <c r="A82" s="1023"/>
      <c r="B82" s="1023"/>
      <c r="C82" s="1023"/>
      <c r="D82" s="1023"/>
      <c r="E82" s="1023"/>
      <c r="F82" s="1023"/>
      <c r="G82" s="1023"/>
      <c r="H82" s="1023"/>
      <c r="I82" s="1023"/>
      <c r="J82" s="1023"/>
      <c r="K82" s="1023"/>
      <c r="L82" s="1023"/>
      <c r="M82" s="1023"/>
      <c r="N82" s="1023"/>
      <c r="O82" s="1023"/>
      <c r="P82" s="1023"/>
      <c r="Q82" s="1023"/>
      <c r="R82" s="1023"/>
      <c r="S82" s="1023"/>
      <c r="T82" s="1023"/>
      <c r="U82" s="1023"/>
      <c r="V82" s="1023"/>
    </row>
    <row r="83" spans="1:22" ht="12.75">
      <c r="A83" s="1023"/>
      <c r="B83" s="1023"/>
      <c r="C83" s="1023"/>
      <c r="D83" s="1023"/>
      <c r="E83" s="1023"/>
      <c r="F83" s="1023"/>
      <c r="G83" s="1023"/>
      <c r="H83" s="1023"/>
      <c r="I83" s="1023"/>
      <c r="J83" s="1023"/>
      <c r="K83" s="1023"/>
      <c r="L83" s="1023"/>
      <c r="M83" s="1023"/>
      <c r="N83" s="1023"/>
      <c r="O83" s="1023"/>
      <c r="P83" s="1023"/>
      <c r="Q83" s="1023"/>
      <c r="R83" s="1023"/>
      <c r="S83" s="1023"/>
      <c r="T83" s="1023"/>
      <c r="U83" s="1023"/>
      <c r="V83" s="1023"/>
    </row>
    <row r="84" spans="1:22" ht="12.75">
      <c r="A84" s="1023"/>
      <c r="B84" s="1023"/>
      <c r="C84" s="1023"/>
      <c r="D84" s="1023"/>
      <c r="E84" s="1023"/>
      <c r="F84" s="1023"/>
      <c r="G84" s="1023"/>
      <c r="H84" s="1023"/>
      <c r="I84" s="1023"/>
      <c r="J84" s="1023"/>
      <c r="K84" s="1023"/>
      <c r="L84" s="1023"/>
      <c r="M84" s="1023"/>
      <c r="N84" s="1023"/>
      <c r="O84" s="1023"/>
      <c r="P84" s="1023"/>
      <c r="Q84" s="1023"/>
      <c r="R84" s="1023"/>
      <c r="S84" s="1023"/>
      <c r="T84" s="1023"/>
      <c r="U84" s="1023"/>
      <c r="V84" s="1023"/>
    </row>
    <row r="85" spans="1:22" ht="12.75">
      <c r="A85" s="1023"/>
      <c r="B85" s="1023"/>
      <c r="C85" s="1023"/>
      <c r="D85" s="1023"/>
      <c r="E85" s="1023"/>
      <c r="F85" s="1023"/>
      <c r="G85" s="1023"/>
      <c r="H85" s="1023"/>
      <c r="I85" s="1023"/>
      <c r="J85" s="1023"/>
      <c r="K85" s="1023"/>
      <c r="L85" s="1023"/>
      <c r="M85" s="1023"/>
      <c r="N85" s="1023"/>
      <c r="O85" s="1023"/>
      <c r="P85" s="1023"/>
      <c r="Q85" s="1023"/>
      <c r="R85" s="1023"/>
      <c r="S85" s="1023"/>
      <c r="T85" s="1023"/>
      <c r="U85" s="1023"/>
      <c r="V85" s="1023"/>
    </row>
    <row r="86" spans="1:22" ht="12.75" customHeight="1">
      <c r="A86" s="1023"/>
      <c r="B86" s="1023"/>
      <c r="C86" s="1023"/>
      <c r="D86" s="1023"/>
      <c r="E86" s="1023"/>
      <c r="F86" s="1023"/>
      <c r="G86" s="1023"/>
      <c r="H86" s="1023"/>
      <c r="I86" s="1023"/>
      <c r="J86" s="1023"/>
      <c r="K86" s="1023"/>
      <c r="L86" s="1023"/>
      <c r="M86" s="1023"/>
      <c r="N86" s="1023"/>
      <c r="O86" s="1023"/>
      <c r="P86" s="1023"/>
      <c r="Q86" s="1023"/>
      <c r="R86" s="1023"/>
      <c r="S86" s="1023"/>
      <c r="T86" s="1023"/>
      <c r="U86" s="1023"/>
      <c r="V86" s="1023"/>
    </row>
    <row r="87" spans="1:22" ht="12.75" customHeight="1">
      <c r="A87" s="1023"/>
      <c r="B87" s="1023"/>
      <c r="C87" s="1023"/>
      <c r="D87" s="1023"/>
      <c r="E87" s="1023"/>
      <c r="F87" s="1023"/>
      <c r="G87" s="1023"/>
      <c r="H87" s="1023"/>
      <c r="I87" s="1023"/>
      <c r="J87" s="1023"/>
      <c r="K87" s="1023"/>
      <c r="L87" s="1023"/>
      <c r="M87" s="1023"/>
      <c r="N87" s="1023"/>
      <c r="O87" s="1023"/>
      <c r="P87" s="1023"/>
      <c r="Q87" s="1023"/>
      <c r="R87" s="1023"/>
      <c r="S87" s="1023"/>
      <c r="T87" s="1023"/>
      <c r="U87" s="1023"/>
      <c r="V87" s="1023"/>
    </row>
    <row r="88" spans="1:22" ht="12.75" customHeight="1">
      <c r="A88" s="1023"/>
      <c r="B88" s="1023"/>
      <c r="C88" s="1023"/>
      <c r="D88" s="1023"/>
      <c r="E88" s="1023"/>
      <c r="F88" s="1023"/>
      <c r="G88" s="1023"/>
      <c r="H88" s="1023"/>
      <c r="I88" s="1023"/>
      <c r="J88" s="1023"/>
      <c r="K88" s="1023"/>
      <c r="L88" s="1023"/>
      <c r="M88" s="1023"/>
      <c r="N88" s="1023"/>
      <c r="O88" s="1023"/>
      <c r="P88" s="1023"/>
      <c r="Q88" s="1023"/>
      <c r="R88" s="1023"/>
      <c r="S88" s="1023"/>
      <c r="T88" s="1023"/>
      <c r="U88" s="1023"/>
      <c r="V88" s="1023"/>
    </row>
    <row r="89" spans="1:22" ht="12.75">
      <c r="A89" s="1023"/>
      <c r="B89" s="1023"/>
      <c r="C89" s="1023"/>
      <c r="D89" s="1023"/>
      <c r="E89" s="1023"/>
      <c r="F89" s="1023"/>
      <c r="G89" s="1023"/>
      <c r="H89" s="1023"/>
      <c r="I89" s="1023"/>
      <c r="J89" s="1023"/>
      <c r="K89" s="1023"/>
      <c r="L89" s="1023"/>
      <c r="M89" s="1023"/>
      <c r="N89" s="1023"/>
      <c r="O89" s="1023"/>
      <c r="P89" s="1023"/>
      <c r="Q89" s="1023"/>
      <c r="R89" s="1023"/>
      <c r="S89" s="1023"/>
      <c r="T89" s="1023"/>
      <c r="U89" s="1023"/>
      <c r="V89" s="1023"/>
    </row>
    <row r="90" spans="1:22" ht="12.75">
      <c r="A90" s="1023"/>
      <c r="B90" s="1023"/>
      <c r="C90" s="1023"/>
      <c r="D90" s="1023"/>
      <c r="E90" s="1023"/>
      <c r="F90" s="1023"/>
      <c r="G90" s="1023"/>
      <c r="H90" s="1023"/>
      <c r="I90" s="1023"/>
      <c r="J90" s="1023"/>
      <c r="K90" s="1023"/>
      <c r="L90" s="1023"/>
      <c r="M90" s="1023"/>
      <c r="N90" s="1023"/>
      <c r="O90" s="1023"/>
      <c r="P90" s="1023"/>
      <c r="Q90" s="1023"/>
      <c r="R90" s="1023"/>
      <c r="S90" s="1023"/>
      <c r="T90" s="1023"/>
      <c r="U90" s="1023"/>
      <c r="V90" s="1023"/>
    </row>
    <row r="91" spans="1:22" ht="12.75">
      <c r="A91" s="1023"/>
      <c r="B91" s="1023"/>
      <c r="C91" s="1023"/>
      <c r="D91" s="1023"/>
      <c r="E91" s="1023"/>
      <c r="F91" s="1023"/>
      <c r="G91" s="1023"/>
      <c r="H91" s="1023"/>
      <c r="I91" s="1023"/>
      <c r="J91" s="1023"/>
      <c r="K91" s="1023"/>
      <c r="L91" s="1023"/>
      <c r="M91" s="1023"/>
      <c r="N91" s="1023"/>
      <c r="O91" s="1023"/>
      <c r="P91" s="1023"/>
      <c r="Q91" s="1023"/>
      <c r="R91" s="1023"/>
      <c r="S91" s="1023"/>
      <c r="T91" s="1023"/>
      <c r="U91" s="1023"/>
      <c r="V91" s="1023"/>
    </row>
    <row r="92" spans="1:22" ht="12.75">
      <c r="A92" s="1023"/>
      <c r="B92" s="1023"/>
      <c r="C92" s="1023"/>
      <c r="D92" s="1023"/>
      <c r="E92" s="1023"/>
      <c r="F92" s="1023"/>
      <c r="G92" s="1023"/>
      <c r="H92" s="1023"/>
      <c r="I92" s="1023"/>
      <c r="J92" s="1023"/>
      <c r="K92" s="1023"/>
      <c r="L92" s="1023"/>
      <c r="M92" s="1023"/>
      <c r="N92" s="1023"/>
      <c r="O92" s="1023"/>
      <c r="P92" s="1023"/>
      <c r="Q92" s="1023"/>
      <c r="R92" s="1023"/>
      <c r="S92" s="1023"/>
      <c r="T92" s="1023"/>
      <c r="U92" s="1023"/>
      <c r="V92" s="1023"/>
    </row>
    <row r="93" spans="1:22" ht="12.75">
      <c r="A93" s="1023"/>
      <c r="B93" s="1023"/>
      <c r="C93" s="1023"/>
      <c r="D93" s="1023"/>
      <c r="E93" s="1023"/>
      <c r="F93" s="1023"/>
      <c r="G93" s="1023"/>
      <c r="H93" s="1023"/>
      <c r="I93" s="1023"/>
      <c r="J93" s="1023"/>
      <c r="K93" s="1023"/>
      <c r="L93" s="1023"/>
      <c r="M93" s="1023"/>
      <c r="N93" s="1023"/>
      <c r="O93" s="1023"/>
      <c r="P93" s="1023"/>
      <c r="Q93" s="1023"/>
      <c r="R93" s="1023"/>
      <c r="S93" s="1023"/>
      <c r="T93" s="1023"/>
      <c r="U93" s="1023"/>
      <c r="V93" s="1023"/>
    </row>
    <row r="94" spans="1:22" ht="12.75">
      <c r="A94" s="1023"/>
      <c r="B94" s="1023"/>
      <c r="C94" s="1023"/>
      <c r="D94" s="1023"/>
      <c r="E94" s="1023"/>
      <c r="F94" s="1023"/>
      <c r="G94" s="1023"/>
      <c r="H94" s="1023"/>
      <c r="I94" s="1023"/>
      <c r="J94" s="1023"/>
      <c r="K94" s="1023"/>
      <c r="L94" s="1023"/>
      <c r="M94" s="1023"/>
      <c r="N94" s="1023"/>
      <c r="O94" s="1023"/>
      <c r="P94" s="1023"/>
      <c r="Q94" s="1023"/>
      <c r="R94" s="1023"/>
      <c r="S94" s="1023"/>
      <c r="T94" s="1023"/>
      <c r="U94" s="1023"/>
      <c r="V94" s="1023"/>
    </row>
    <row r="95" spans="1:22" ht="12.75">
      <c r="A95" s="1023"/>
      <c r="B95" s="1023"/>
      <c r="C95" s="1023"/>
      <c r="D95" s="1023"/>
      <c r="E95" s="1023"/>
      <c r="F95" s="1023"/>
      <c r="G95" s="1023"/>
      <c r="H95" s="1023"/>
      <c r="I95" s="1023"/>
      <c r="J95" s="1023"/>
      <c r="K95" s="1023"/>
      <c r="L95" s="1023"/>
      <c r="M95" s="1023"/>
      <c r="N95" s="1023"/>
      <c r="O95" s="1023"/>
      <c r="P95" s="1023"/>
      <c r="Q95" s="1023"/>
      <c r="R95" s="1023"/>
      <c r="S95" s="1023"/>
      <c r="T95" s="1023"/>
      <c r="U95" s="1023"/>
      <c r="V95" s="1023"/>
    </row>
    <row r="96" spans="1:22" ht="12.75">
      <c r="A96" s="1023"/>
      <c r="B96" s="1023"/>
      <c r="C96" s="1023"/>
      <c r="D96" s="1023"/>
      <c r="E96" s="1023"/>
      <c r="F96" s="1023"/>
      <c r="G96" s="1023"/>
      <c r="H96" s="1023"/>
      <c r="I96" s="1023"/>
      <c r="J96" s="1023"/>
      <c r="K96" s="1023"/>
      <c r="L96" s="1023"/>
      <c r="M96" s="1023"/>
      <c r="N96" s="1023"/>
      <c r="O96" s="1023"/>
      <c r="P96" s="1023"/>
      <c r="Q96" s="1023"/>
      <c r="R96" s="1023"/>
      <c r="S96" s="1023"/>
      <c r="T96" s="1023"/>
      <c r="U96" s="1023"/>
      <c r="V96" s="1023"/>
    </row>
    <row r="97" spans="1:22" ht="12.75">
      <c r="A97" s="1023"/>
      <c r="B97" s="1023"/>
      <c r="C97" s="1023"/>
      <c r="D97" s="1023"/>
      <c r="E97" s="1023"/>
      <c r="F97" s="1023"/>
      <c r="G97" s="1023"/>
      <c r="H97" s="1023"/>
      <c r="I97" s="1023"/>
      <c r="J97" s="1023"/>
      <c r="K97" s="1023"/>
      <c r="L97" s="1023"/>
      <c r="M97" s="1023"/>
      <c r="N97" s="1023"/>
      <c r="O97" s="1023"/>
      <c r="P97" s="1023"/>
      <c r="Q97" s="1023"/>
      <c r="R97" s="1023"/>
      <c r="S97" s="1023"/>
      <c r="T97" s="1023"/>
      <c r="U97" s="1023"/>
      <c r="V97" s="1023"/>
    </row>
    <row r="98" spans="1:22" ht="12.75">
      <c r="A98" s="1023"/>
      <c r="B98" s="1023"/>
      <c r="C98" s="1023"/>
      <c r="D98" s="1023"/>
      <c r="E98" s="1023"/>
      <c r="F98" s="1023"/>
      <c r="G98" s="1023"/>
      <c r="H98" s="1023"/>
      <c r="I98" s="1023"/>
      <c r="J98" s="1023"/>
      <c r="K98" s="1023"/>
      <c r="L98" s="1023"/>
      <c r="M98" s="1023"/>
      <c r="N98" s="1023"/>
      <c r="O98" s="1023"/>
      <c r="P98" s="1023"/>
      <c r="Q98" s="1023"/>
      <c r="R98" s="1023"/>
      <c r="S98" s="1023"/>
      <c r="T98" s="1023"/>
      <c r="U98" s="1023"/>
      <c r="V98" s="1023"/>
    </row>
    <row r="99" spans="1:22" ht="12.75">
      <c r="A99" s="1023"/>
      <c r="B99" s="1023"/>
      <c r="C99" s="1023"/>
      <c r="D99" s="1023"/>
      <c r="E99" s="1023"/>
      <c r="F99" s="1023"/>
      <c r="G99" s="1023"/>
      <c r="H99" s="1023"/>
      <c r="I99" s="1023"/>
      <c r="J99" s="1023"/>
      <c r="K99" s="1023"/>
      <c r="L99" s="1023"/>
      <c r="M99" s="1023"/>
      <c r="N99" s="1023"/>
      <c r="O99" s="1023"/>
      <c r="P99" s="1023"/>
      <c r="Q99" s="1023"/>
      <c r="R99" s="1023"/>
      <c r="S99" s="1023"/>
      <c r="T99" s="1023"/>
      <c r="U99" s="1023"/>
      <c r="V99" s="1023"/>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topLeftCell="A10" zoomScale="81" zoomScaleNormal="81" zoomScaleSheetLayoutView="75" workbookViewId="0">
      <selection activeCell="J18" sqref="J18"/>
    </sheetView>
  </sheetViews>
  <sheetFormatPr defaultColWidth="14.7109375" defaultRowHeight="15"/>
  <cols>
    <col min="1" max="1" width="7.28515625" style="7" customWidth="1"/>
    <col min="2" max="2" width="8.5703125" style="2" bestFit="1" customWidth="1"/>
    <col min="3" max="3" width="2" style="7" customWidth="1"/>
    <col min="4" max="4" width="78" style="7" customWidth="1"/>
    <col min="5" max="5" width="19.42578125" style="7" customWidth="1"/>
    <col min="6" max="6" width="29.85546875" style="7" customWidth="1"/>
    <col min="7" max="7" width="2.5703125" style="7" customWidth="1"/>
    <col min="8" max="8" width="19.42578125" style="7" bestFit="1" customWidth="1"/>
    <col min="9" max="9" width="2.5703125" style="7" customWidth="1"/>
    <col min="10" max="10" width="17.7109375" style="7" customWidth="1"/>
    <col min="11" max="11" width="2.5703125" style="7" customWidth="1"/>
    <col min="12" max="12" width="19.7109375" style="7" customWidth="1"/>
    <col min="13" max="16384" width="14.7109375" style="7"/>
  </cols>
  <sheetData>
    <row r="1" spans="1:13">
      <c r="A1" s="285"/>
    </row>
    <row r="2" spans="1:13">
      <c r="A2" s="173"/>
      <c r="B2" s="173"/>
      <c r="C2" s="173"/>
      <c r="D2" s="173"/>
      <c r="E2" s="173"/>
      <c r="F2" s="173"/>
      <c r="G2" s="173"/>
      <c r="I2" s="3"/>
      <c r="J2" s="173"/>
      <c r="K2" s="173"/>
      <c r="L2" s="66"/>
      <c r="M2" s="174"/>
    </row>
    <row r="3" spans="1:13">
      <c r="B3" s="14"/>
      <c r="C3" s="3"/>
      <c r="D3" s="3"/>
      <c r="E3" s="3"/>
      <c r="F3" s="3"/>
      <c r="G3" s="3"/>
      <c r="I3" s="3"/>
      <c r="J3" s="3"/>
      <c r="K3" s="3"/>
      <c r="L3" s="66"/>
    </row>
    <row r="4" spans="1:13">
      <c r="B4" s="14"/>
      <c r="C4" s="3"/>
      <c r="D4" s="6"/>
      <c r="E4" s="6"/>
      <c r="F4" s="57" t="s">
        <v>878</v>
      </c>
      <c r="J4" s="6"/>
      <c r="K4" s="4"/>
    </row>
    <row r="5" spans="1:13">
      <c r="B5" s="14"/>
      <c r="C5" s="3"/>
      <c r="D5" s="6"/>
      <c r="E5" s="6"/>
      <c r="F5" s="588" t="str">
        <f>"Utilizing Actual / Projected Cost Data for the "&amp;'PSO TCOS'!N2&amp;" Rate Year"</f>
        <v>Utilizing Actual / Projected Cost Data for the 2018 Rate Year</v>
      </c>
      <c r="J5" s="5"/>
      <c r="K5" s="4"/>
    </row>
    <row r="6" spans="1:13">
      <c r="B6" s="14"/>
      <c r="C6" s="3"/>
      <c r="D6" s="6"/>
      <c r="E6" s="6"/>
      <c r="F6" s="175" t="str">
        <f>"For rates effective January 1, "&amp;'PSO TCOS'!N2&amp;""</f>
        <v>For rates effective January 1, 2018</v>
      </c>
      <c r="I6" s="4"/>
      <c r="J6" s="4"/>
      <c r="K6" s="4"/>
      <c r="L6" s="4"/>
    </row>
    <row r="7" spans="1:13">
      <c r="B7" s="13"/>
      <c r="C7" s="10"/>
      <c r="D7" s="4"/>
      <c r="E7" s="4"/>
      <c r="I7" s="4"/>
      <c r="J7" s="100"/>
      <c r="K7" s="100"/>
      <c r="L7" s="4"/>
    </row>
    <row r="8" spans="1:13" ht="15.75">
      <c r="B8" s="13"/>
      <c r="C8" s="10"/>
      <c r="D8" s="4"/>
      <c r="E8" s="4"/>
      <c r="F8" s="98" t="s">
        <v>127</v>
      </c>
      <c r="I8" s="4"/>
      <c r="J8" s="4"/>
      <c r="K8" s="4"/>
    </row>
    <row r="9" spans="1:13" ht="15.75">
      <c r="B9" s="13"/>
      <c r="C9" s="10"/>
      <c r="D9" s="4"/>
      <c r="E9" s="4"/>
      <c r="F9" s="4"/>
      <c r="G9" s="100"/>
      <c r="H9" s="177" t="s">
        <v>120</v>
      </c>
      <c r="I9" s="101"/>
      <c r="J9" s="101" t="s">
        <v>121</v>
      </c>
      <c r="K9" s="101"/>
      <c r="L9" s="177" t="s">
        <v>122</v>
      </c>
    </row>
    <row r="10" spans="1:13" ht="15.75">
      <c r="B10" s="13" t="s">
        <v>310</v>
      </c>
      <c r="C10" s="10"/>
      <c r="D10" s="4"/>
      <c r="E10" s="4"/>
      <c r="F10" s="4"/>
      <c r="G10" s="4"/>
      <c r="H10" s="177" t="s">
        <v>32</v>
      </c>
      <c r="I10" s="101"/>
      <c r="J10" s="101" t="s">
        <v>32</v>
      </c>
      <c r="K10" s="101"/>
      <c r="L10" s="101" t="s">
        <v>32</v>
      </c>
    </row>
    <row r="11" spans="1:13" ht="16.5" thickBot="1">
      <c r="B11" s="102" t="s">
        <v>259</v>
      </c>
      <c r="C11" s="9"/>
      <c r="D11" s="4"/>
      <c r="E11" s="4"/>
      <c r="F11" s="9"/>
      <c r="G11" s="4"/>
      <c r="H11" s="177" t="s">
        <v>123</v>
      </c>
      <c r="I11" s="101"/>
      <c r="J11" s="177" t="s">
        <v>123</v>
      </c>
      <c r="K11" s="101"/>
      <c r="L11" s="177" t="s">
        <v>123</v>
      </c>
    </row>
    <row r="12" spans="1:13">
      <c r="B12" s="67"/>
      <c r="C12" s="9"/>
      <c r="D12" s="4"/>
      <c r="E12" s="4"/>
      <c r="F12" s="9"/>
      <c r="G12" s="4"/>
      <c r="I12" s="4"/>
      <c r="K12" s="4"/>
    </row>
    <row r="13" spans="1:13">
      <c r="B13" s="67"/>
      <c r="C13" s="9"/>
      <c r="D13" s="4"/>
      <c r="E13" s="4"/>
      <c r="F13" s="9"/>
      <c r="G13" s="4"/>
      <c r="I13" s="4"/>
      <c r="K13" s="4"/>
    </row>
    <row r="14" spans="1:13" ht="15.75">
      <c r="A14" s="177" t="s">
        <v>124</v>
      </c>
      <c r="B14" s="276" t="str">
        <f>"Schedule 1 ARR For "&amp;'PSO TCOS'!N2&amp;" Rate Year"</f>
        <v>Schedule 1 ARR For 2018 Rate Year</v>
      </c>
      <c r="C14" s="9"/>
      <c r="D14" s="4"/>
      <c r="E14" s="4"/>
      <c r="F14" s="9"/>
      <c r="G14" s="4"/>
      <c r="I14" s="4"/>
      <c r="J14" s="4"/>
      <c r="K14" s="4"/>
    </row>
    <row r="15" spans="1:13">
      <c r="B15" s="13">
        <v>1</v>
      </c>
      <c r="C15" s="10"/>
      <c r="D15" s="181" t="str">
        <f>"Total Load Dispatch &amp; Scheduling (Account 561) (TCOS Line "&amp;'PSO TCOS'!B129&amp;")"</f>
        <v>Total Load Dispatch &amp; Scheduling (Account 561) (TCOS Line 65)</v>
      </c>
      <c r="E15" s="181"/>
      <c r="F15" s="4"/>
      <c r="G15" s="65"/>
      <c r="H15" s="660">
        <f>+J15+L15</f>
        <v>26945409.254000001</v>
      </c>
      <c r="I15" s="659"/>
      <c r="J15" s="660">
        <f>+'PSO TCOS'!G129</f>
        <v>13475273.192</v>
      </c>
      <c r="K15" s="658"/>
      <c r="L15" s="660">
        <f>+'SWEPCO TCOS'!G129</f>
        <v>13470136.061999999</v>
      </c>
    </row>
    <row r="16" spans="1:13">
      <c r="B16" s="13">
        <f>+B15+1</f>
        <v>2</v>
      </c>
      <c r="C16" s="10"/>
      <c r="D16" s="181" t="s">
        <v>553</v>
      </c>
      <c r="E16" s="181"/>
      <c r="F16" s="4"/>
      <c r="G16" s="65"/>
      <c r="H16" s="660">
        <f>+J16+L16</f>
        <v>23155319</v>
      </c>
      <c r="I16" s="659"/>
      <c r="J16" s="672">
        <v>11778727</v>
      </c>
      <c r="K16" s="673"/>
      <c r="L16" s="672">
        <v>11376592</v>
      </c>
    </row>
    <row r="17" spans="1:12">
      <c r="B17" s="13">
        <f>+B16+1</f>
        <v>3</v>
      </c>
      <c r="C17" s="10"/>
      <c r="D17" s="181" t="s">
        <v>554</v>
      </c>
      <c r="E17" s="181"/>
      <c r="F17" s="4"/>
      <c r="G17" s="65"/>
      <c r="H17" s="674">
        <f>+J17+L17</f>
        <v>2187077</v>
      </c>
      <c r="I17" s="659"/>
      <c r="J17" s="675">
        <v>1107048</v>
      </c>
      <c r="K17" s="673"/>
      <c r="L17" s="675">
        <v>1080029</v>
      </c>
    </row>
    <row r="18" spans="1:12">
      <c r="B18" s="13">
        <f>+B17+1</f>
        <v>4</v>
      </c>
      <c r="C18" s="10"/>
      <c r="D18" s="181" t="s">
        <v>61</v>
      </c>
      <c r="E18" s="181"/>
      <c r="F18" s="10" t="str">
        <f>"(Line "&amp;B15&amp;" - Line "&amp;B16&amp;" - Line "&amp;B17&amp;")"</f>
        <v>(Line 1 - Line 2 - Line 3)</v>
      </c>
      <c r="G18" s="65"/>
      <c r="H18" s="660">
        <f>+H15-H16-H17</f>
        <v>1603013.2540000007</v>
      </c>
      <c r="I18" s="659"/>
      <c r="J18" s="660">
        <f>+J15-J16-J17</f>
        <v>589498.19199999981</v>
      </c>
      <c r="K18" s="658"/>
      <c r="L18" s="660">
        <f>+L15-L16-L17</f>
        <v>1013515.061999999</v>
      </c>
    </row>
    <row r="19" spans="1:12">
      <c r="B19" s="7"/>
      <c r="C19" s="10"/>
      <c r="D19" s="181"/>
      <c r="E19" s="181"/>
      <c r="F19" s="10"/>
      <c r="G19" s="65"/>
      <c r="H19" s="660"/>
      <c r="I19" s="659"/>
      <c r="J19" s="660"/>
      <c r="K19" s="658"/>
      <c r="L19" s="660"/>
    </row>
    <row r="20" spans="1:12">
      <c r="B20" s="13">
        <f>+B18+1</f>
        <v>5</v>
      </c>
      <c r="C20" s="10"/>
      <c r="D20" s="196" t="s">
        <v>555</v>
      </c>
      <c r="E20" s="181"/>
      <c r="F20" s="10"/>
      <c r="G20" s="65"/>
      <c r="H20" s="654">
        <f>+J20+L20</f>
        <v>579449.3600000001</v>
      </c>
      <c r="I20" s="662"/>
      <c r="J20" s="672">
        <v>271506.77865280001</v>
      </c>
      <c r="K20" s="673"/>
      <c r="L20" s="672">
        <v>307942.58134720003</v>
      </c>
    </row>
    <row r="21" spans="1:12" ht="15.75" thickBot="1">
      <c r="B21" s="13"/>
      <c r="C21" s="10"/>
      <c r="D21" s="181"/>
      <c r="E21" s="181"/>
      <c r="F21" s="10"/>
      <c r="G21" s="65"/>
      <c r="H21" s="660"/>
      <c r="I21" s="659"/>
      <c r="J21" s="660"/>
      <c r="K21" s="658"/>
      <c r="L21" s="660"/>
    </row>
    <row r="22" spans="1:12" ht="15.75" thickBot="1">
      <c r="A22" s="197"/>
      <c r="B22" s="13">
        <f>+B20+1</f>
        <v>6</v>
      </c>
      <c r="C22" s="10"/>
      <c r="D22" s="277" t="s">
        <v>556</v>
      </c>
      <c r="E22" s="198"/>
      <c r="F22" s="185" t="str">
        <f>"(Line "&amp;B18&amp;" - Line "&amp;B20&amp;")"</f>
        <v>(Line 4 - Line 5)</v>
      </c>
      <c r="G22" s="199"/>
      <c r="H22" s="676">
        <f>+H18-H20</f>
        <v>1023563.8940000006</v>
      </c>
      <c r="I22" s="677"/>
      <c r="J22" s="676">
        <f>+J18-J20</f>
        <v>317991.41334719979</v>
      </c>
      <c r="K22" s="678"/>
      <c r="L22" s="679">
        <f>+L18-L20</f>
        <v>705572.4806527989</v>
      </c>
    </row>
    <row r="23" spans="1:12">
      <c r="A23" s="197"/>
      <c r="B23" s="13"/>
      <c r="C23" s="10"/>
      <c r="D23" s="181"/>
      <c r="E23" s="181"/>
      <c r="F23" s="65"/>
      <c r="G23" s="3"/>
      <c r="H23" s="665"/>
      <c r="I23" s="662"/>
      <c r="J23" s="663">
        <f>J22/H22</f>
        <v>0.31067079955753074</v>
      </c>
      <c r="K23" s="662"/>
      <c r="L23" s="663">
        <f>1-J23</f>
        <v>0.68932920044246926</v>
      </c>
    </row>
    <row r="24" spans="1:12">
      <c r="B24" s="13"/>
      <c r="C24" s="10"/>
      <c r="D24" s="181"/>
      <c r="E24" s="181"/>
      <c r="F24" s="65"/>
      <c r="G24" s="3"/>
      <c r="H24" s="665"/>
      <c r="I24" s="662"/>
      <c r="J24" s="665"/>
      <c r="K24" s="654"/>
      <c r="L24" s="665"/>
    </row>
    <row r="25" spans="1:12" ht="15.75">
      <c r="A25" s="177" t="s">
        <v>125</v>
      </c>
      <c r="B25" s="276" t="str">
        <f>"Schedule 1 "&amp;'PSO TCOS'!N2&amp;" Rate Year Calculations"</f>
        <v>Schedule 1 2018 Rate Year Calculations</v>
      </c>
      <c r="C25" s="9"/>
      <c r="D25" s="4"/>
      <c r="E25" s="4"/>
      <c r="F25" s="9"/>
      <c r="G25" s="4"/>
      <c r="H25" s="662"/>
      <c r="I25" s="655"/>
      <c r="J25" s="654"/>
      <c r="K25" s="654"/>
      <c r="L25" s="654"/>
    </row>
    <row r="26" spans="1:12">
      <c r="A26" s="197"/>
      <c r="B26" s="13">
        <f>+B22+1</f>
        <v>7</v>
      </c>
      <c r="C26" s="10"/>
      <c r="D26" s="181" t="s">
        <v>557</v>
      </c>
      <c r="E26" s="181"/>
      <c r="F26" s="11" t="str">
        <f>"(Load WS, ln "&amp;'Load WS'!A33&amp;")"</f>
        <v>(Load WS, ln 20)</v>
      </c>
      <c r="G26" s="65"/>
      <c r="H26" s="654">
        <f>+'Load WS'!S33</f>
        <v>8544</v>
      </c>
      <c r="I26" s="655" t="s">
        <v>126</v>
      </c>
      <c r="J26" s="654"/>
      <c r="K26" s="654"/>
      <c r="L26" s="654"/>
    </row>
    <row r="27" spans="1:12">
      <c r="A27" s="197"/>
      <c r="B27" s="13"/>
      <c r="C27" s="10"/>
      <c r="D27" s="181"/>
      <c r="E27" s="181"/>
      <c r="F27" s="200"/>
      <c r="G27" s="65"/>
      <c r="H27" s="680"/>
      <c r="I27" s="655"/>
      <c r="J27" s="654"/>
      <c r="K27" s="654"/>
      <c r="L27" s="654"/>
    </row>
    <row r="28" spans="1:12">
      <c r="A28" s="197"/>
      <c r="B28" s="13">
        <f>+B26+1</f>
        <v>8</v>
      </c>
      <c r="C28" s="142"/>
      <c r="D28" s="181" t="str">
        <f>"Annual Point-to-Point Rate in $/MW - Year"</f>
        <v>Annual Point-to-Point Rate in $/MW - Year</v>
      </c>
      <c r="E28" s="201"/>
      <c r="F28" s="142" t="str">
        <f>"(Line "&amp;B22&amp;" / Line "&amp;B26&amp;")"</f>
        <v>(Line 6 / Line 7)</v>
      </c>
      <c r="G28" s="142"/>
      <c r="H28" s="662">
        <f>+H22/H26</f>
        <v>119.79914489700381</v>
      </c>
      <c r="I28" s="681"/>
      <c r="J28" s="682"/>
      <c r="K28" s="654"/>
      <c r="L28" s="654"/>
    </row>
    <row r="29" spans="1:12">
      <c r="A29" s="197"/>
      <c r="B29" s="13">
        <f>+B28+1</f>
        <v>9</v>
      </c>
      <c r="C29" s="142"/>
      <c r="D29" s="181" t="str">
        <f>"Monthly Point-to-Point Rate (ln "&amp;B28&amp;" / 12)  $/MW - Month"</f>
        <v>Monthly Point-to-Point Rate (ln 8 / 12)  $/MW - Month</v>
      </c>
      <c r="E29" s="201"/>
      <c r="F29" s="142" t="str">
        <f>"(Line "&amp;B28&amp;" / 12)"</f>
        <v>(Line 8 / 12)</v>
      </c>
      <c r="G29" s="142"/>
      <c r="H29" s="662">
        <f>+H28/12</f>
        <v>9.9832620747503178</v>
      </c>
      <c r="I29" s="681"/>
      <c r="J29" s="682"/>
      <c r="K29" s="654"/>
      <c r="L29" s="654"/>
    </row>
    <row r="30" spans="1:12">
      <c r="A30" s="197"/>
      <c r="B30" s="13">
        <f>+B29+1</f>
        <v>10</v>
      </c>
      <c r="C30" s="142"/>
      <c r="D30" s="181" t="str">
        <f>"Weekly Point-to-Point Rate (ln "&amp;B28&amp;" / 52)  $/MW - Weekly"</f>
        <v>Weekly Point-to-Point Rate (ln 8 / 52)  $/MW - Weekly</v>
      </c>
      <c r="E30" s="201"/>
      <c r="F30" s="142" t="str">
        <f>"(Line "&amp;B28&amp;" / 52)"</f>
        <v>(Line 8 / 52)</v>
      </c>
      <c r="G30" s="142"/>
      <c r="H30" s="662">
        <f>+H28/52</f>
        <v>2.3038297095577658</v>
      </c>
      <c r="I30" s="681"/>
      <c r="J30" s="682"/>
      <c r="K30" s="654"/>
      <c r="L30" s="654"/>
    </row>
    <row r="31" spans="1:12">
      <c r="A31" s="197"/>
      <c r="B31" s="13">
        <f>+B30+1</f>
        <v>11</v>
      </c>
      <c r="C31" s="142"/>
      <c r="D31" s="181" t="str">
        <f>"Daily Off-Peak Point-to-Point Rate (ln "&amp;B28&amp;" / 365)  $/MW - Day"</f>
        <v>Daily Off-Peak Point-to-Point Rate (ln 8 / 365)  $/MW - Day</v>
      </c>
      <c r="E31" s="201"/>
      <c r="F31" s="142" t="str">
        <f>"(Line "&amp;B28&amp;" / 365)"</f>
        <v>(Line 8 / 365)</v>
      </c>
      <c r="G31" s="142"/>
      <c r="H31" s="662">
        <f>+H28/365</f>
        <v>0.32821683533425705</v>
      </c>
      <c r="I31" s="681"/>
      <c r="J31" s="682"/>
      <c r="K31" s="654"/>
      <c r="L31" s="654"/>
    </row>
    <row r="32" spans="1:12">
      <c r="A32" s="197"/>
      <c r="B32" s="13">
        <f>+B31+1</f>
        <v>12</v>
      </c>
      <c r="C32" s="142"/>
      <c r="D32" s="181" t="str">
        <f>"Hourly Off-Peak Point-to-Point Rate (ln "&amp;B28&amp;" / 8760)  $/MW - Hour"</f>
        <v>Hourly Off-Peak Point-to-Point Rate (ln 8 / 8760)  $/MW - Hour</v>
      </c>
      <c r="E32" s="201"/>
      <c r="F32" s="142" t="str">
        <f>"(Line "&amp;B28&amp;" / 8760)"</f>
        <v>(Line 8 / 8760)</v>
      </c>
      <c r="G32" s="142"/>
      <c r="H32" s="662">
        <f>+H28/8760</f>
        <v>1.367570147226071E-2</v>
      </c>
      <c r="I32" s="681"/>
      <c r="J32" s="682"/>
      <c r="K32" s="654"/>
      <c r="L32" s="654"/>
    </row>
    <row r="33" spans="2:23">
      <c r="B33" s="13"/>
      <c r="C33" s="10"/>
      <c r="D33" s="181"/>
      <c r="E33" s="181"/>
      <c r="F33" s="65"/>
      <c r="G33" s="3"/>
      <c r="H33" s="179"/>
      <c r="I33" s="3"/>
      <c r="J33" s="179"/>
      <c r="K33" s="183"/>
      <c r="L33" s="179"/>
    </row>
    <row r="34" spans="2:23">
      <c r="B34" s="13"/>
      <c r="C34" s="142"/>
      <c r="D34" s="181"/>
      <c r="E34" s="181"/>
      <c r="F34" s="142"/>
      <c r="G34" s="142"/>
      <c r="I34" s="142"/>
      <c r="J34" s="182"/>
      <c r="K34" s="3"/>
      <c r="L34" s="182"/>
      <c r="M34" s="12"/>
      <c r="N34" s="12"/>
      <c r="O34" s="12"/>
      <c r="P34" s="12"/>
      <c r="Q34" s="12"/>
      <c r="R34" s="12"/>
      <c r="S34" s="12"/>
      <c r="T34" s="12"/>
      <c r="U34" s="12"/>
      <c r="V34" s="12"/>
      <c r="W34" s="12"/>
    </row>
    <row r="35" spans="2:23">
      <c r="B35" s="13"/>
      <c r="C35" s="142"/>
      <c r="D35" s="181"/>
      <c r="E35" s="181"/>
      <c r="F35" s="142"/>
      <c r="G35" s="142"/>
      <c r="I35" s="142"/>
      <c r="J35" s="182"/>
      <c r="K35" s="3"/>
      <c r="L35" s="182"/>
      <c r="M35" s="12"/>
      <c r="N35" s="12"/>
      <c r="O35" s="12"/>
      <c r="P35" s="12"/>
      <c r="Q35" s="12"/>
      <c r="R35" s="12"/>
      <c r="S35" s="12"/>
      <c r="T35" s="12"/>
      <c r="U35" s="12"/>
      <c r="V35" s="12"/>
      <c r="W35" s="12"/>
    </row>
    <row r="36" spans="2:23">
      <c r="B36" s="202"/>
      <c r="C36" s="142"/>
      <c r="D36" s="142"/>
      <c r="E36" s="142"/>
      <c r="F36" s="142"/>
      <c r="G36" s="142"/>
      <c r="H36" s="12"/>
      <c r="I36" s="142"/>
      <c r="J36" s="142"/>
      <c r="K36" s="142"/>
      <c r="L36" s="142"/>
      <c r="M36" s="12"/>
      <c r="N36" s="12"/>
      <c r="O36" s="12"/>
      <c r="P36" s="12"/>
      <c r="Q36" s="12"/>
      <c r="R36" s="12"/>
      <c r="S36" s="12"/>
      <c r="T36" s="12"/>
      <c r="U36" s="12"/>
      <c r="V36" s="12"/>
      <c r="W36" s="12"/>
    </row>
    <row r="37" spans="2:23">
      <c r="B37" s="202"/>
      <c r="C37" s="142"/>
      <c r="D37" s="142"/>
      <c r="E37" s="142"/>
      <c r="F37" s="142"/>
      <c r="G37" s="142"/>
      <c r="H37" s="12"/>
      <c r="I37" s="142"/>
      <c r="J37" s="142"/>
      <c r="K37" s="142"/>
      <c r="L37" s="142"/>
      <c r="M37" s="12"/>
      <c r="N37" s="12"/>
      <c r="O37" s="12"/>
      <c r="P37" s="12"/>
      <c r="Q37" s="12"/>
      <c r="R37" s="12"/>
      <c r="S37" s="12"/>
      <c r="T37" s="12"/>
      <c r="U37" s="12"/>
      <c r="V37" s="12"/>
      <c r="W37" s="12"/>
    </row>
    <row r="38" spans="2:23">
      <c r="B38" s="202"/>
      <c r="C38" s="142"/>
      <c r="D38" s="142"/>
      <c r="E38" s="142"/>
      <c r="F38" s="142"/>
      <c r="G38" s="142"/>
      <c r="H38" s="12"/>
      <c r="I38" s="142"/>
      <c r="J38" s="142"/>
      <c r="K38" s="142"/>
      <c r="L38" s="142"/>
      <c r="M38" s="12"/>
      <c r="N38" s="12"/>
      <c r="O38" s="12"/>
      <c r="P38" s="12"/>
      <c r="Q38" s="12"/>
      <c r="R38" s="12"/>
      <c r="S38" s="12"/>
      <c r="T38" s="12"/>
      <c r="U38" s="12"/>
      <c r="V38" s="12"/>
      <c r="W38" s="12"/>
    </row>
    <row r="39" spans="2:23">
      <c r="B39" s="63"/>
      <c r="C39" s="4"/>
      <c r="D39" s="173"/>
      <c r="E39" s="173"/>
      <c r="F39" s="173"/>
      <c r="G39" s="173"/>
      <c r="H39" s="173" t="s">
        <v>256</v>
      </c>
      <c r="J39" s="173"/>
      <c r="K39" s="173"/>
      <c r="L39" s="173"/>
      <c r="M39" s="173"/>
      <c r="N39" s="173"/>
      <c r="O39" s="173"/>
      <c r="P39" s="173"/>
      <c r="Q39" s="173"/>
      <c r="R39" s="173"/>
      <c r="S39" s="173"/>
      <c r="T39" s="12"/>
      <c r="U39" s="12"/>
      <c r="V39" s="12"/>
      <c r="W39" s="12"/>
    </row>
    <row r="40" spans="2:23">
      <c r="B40" s="63"/>
      <c r="C40" s="4"/>
      <c r="D40" s="173"/>
      <c r="E40" s="173"/>
      <c r="F40" s="173"/>
      <c r="G40" s="173"/>
      <c r="H40" s="173"/>
      <c r="I40" s="173"/>
      <c r="J40" s="173"/>
      <c r="K40" s="173"/>
      <c r="L40" s="173"/>
      <c r="M40" s="173"/>
      <c r="N40" s="173"/>
      <c r="O40" s="173"/>
      <c r="P40" s="173"/>
      <c r="Q40" s="173"/>
      <c r="R40" s="173"/>
      <c r="S40" s="173"/>
      <c r="T40" s="12"/>
      <c r="U40" s="12"/>
      <c r="V40" s="12"/>
      <c r="W40" s="12"/>
    </row>
    <row r="41" spans="2:23">
      <c r="B41" s="63"/>
      <c r="C41" s="4"/>
      <c r="D41" s="173"/>
      <c r="E41" s="173"/>
      <c r="F41" s="173"/>
      <c r="G41" s="173"/>
      <c r="H41" s="173"/>
      <c r="I41" s="173"/>
      <c r="J41" s="173"/>
      <c r="K41" s="173"/>
      <c r="L41" s="173"/>
      <c r="M41" s="173"/>
      <c r="N41" s="173"/>
      <c r="O41" s="173"/>
      <c r="P41" s="173"/>
      <c r="Q41" s="173"/>
      <c r="R41" s="173"/>
      <c r="S41" s="173"/>
      <c r="T41" s="12"/>
      <c r="U41" s="12"/>
      <c r="V41" s="12"/>
      <c r="W41" s="12"/>
    </row>
    <row r="42" spans="2:23">
      <c r="B42" s="63"/>
      <c r="C42" s="4"/>
      <c r="D42" s="173"/>
      <c r="E42" s="173"/>
      <c r="F42" s="173"/>
      <c r="G42" s="173"/>
      <c r="H42" s="173"/>
      <c r="I42" s="173"/>
      <c r="J42" s="173"/>
      <c r="K42" s="173"/>
      <c r="L42" s="173"/>
      <c r="M42" s="173"/>
      <c r="N42" s="173"/>
      <c r="O42" s="173"/>
      <c r="P42" s="173"/>
      <c r="Q42" s="173"/>
      <c r="R42" s="173"/>
      <c r="S42" s="173"/>
      <c r="T42" s="12"/>
      <c r="U42" s="12"/>
      <c r="V42" s="12"/>
      <c r="W42" s="12"/>
    </row>
    <row r="43" spans="2:23">
      <c r="B43" s="63"/>
      <c r="C43" s="4"/>
      <c r="D43" s="173"/>
      <c r="E43" s="173"/>
      <c r="F43" s="173"/>
      <c r="G43" s="173"/>
      <c r="H43" s="173"/>
      <c r="I43" s="173"/>
      <c r="J43" s="173"/>
      <c r="K43" s="173"/>
      <c r="L43" s="173"/>
      <c r="M43" s="173"/>
      <c r="N43" s="173"/>
      <c r="O43" s="173"/>
      <c r="P43" s="173"/>
      <c r="Q43" s="173"/>
      <c r="R43" s="173"/>
      <c r="S43" s="173"/>
      <c r="T43" s="12"/>
      <c r="U43" s="12"/>
      <c r="V43" s="12"/>
      <c r="W43" s="12"/>
    </row>
    <row r="44" spans="2:23">
      <c r="B44" s="63"/>
      <c r="C44" s="4"/>
      <c r="D44" s="173"/>
      <c r="E44" s="173"/>
      <c r="F44" s="173"/>
      <c r="G44" s="173"/>
      <c r="H44" s="173"/>
      <c r="I44" s="173"/>
      <c r="J44" s="173"/>
      <c r="K44" s="173"/>
      <c r="L44" s="173"/>
      <c r="M44" s="173"/>
      <c r="N44" s="173"/>
      <c r="O44" s="173"/>
      <c r="P44" s="173"/>
      <c r="Q44" s="173"/>
      <c r="R44" s="173"/>
      <c r="S44" s="173"/>
      <c r="T44" s="12"/>
      <c r="U44" s="12"/>
      <c r="V44" s="12"/>
      <c r="W44" s="12"/>
    </row>
    <row r="45" spans="2:23">
      <c r="B45" s="63"/>
      <c r="C45" s="4"/>
      <c r="D45" s="173"/>
      <c r="E45" s="173"/>
      <c r="F45" s="173"/>
      <c r="G45" s="173"/>
      <c r="H45" s="173"/>
      <c r="I45" s="173"/>
      <c r="J45" s="173"/>
      <c r="K45" s="173"/>
      <c r="L45" s="173"/>
      <c r="M45" s="173"/>
      <c r="N45" s="173"/>
      <c r="O45" s="173"/>
      <c r="P45" s="173"/>
      <c r="Q45" s="173"/>
      <c r="R45" s="173"/>
      <c r="S45" s="173"/>
      <c r="T45" s="12"/>
      <c r="U45" s="12"/>
      <c r="V45" s="12"/>
      <c r="W45" s="12"/>
    </row>
    <row r="46" spans="2:23">
      <c r="B46" s="1"/>
      <c r="C46" s="12"/>
      <c r="D46" s="173"/>
      <c r="E46" s="173"/>
      <c r="F46" s="173"/>
      <c r="G46" s="173"/>
      <c r="H46" s="173"/>
      <c r="I46" s="173"/>
      <c r="J46" s="173"/>
      <c r="K46" s="173"/>
      <c r="L46" s="173"/>
      <c r="M46" s="173"/>
      <c r="N46" s="173"/>
      <c r="O46" s="173"/>
      <c r="P46" s="173"/>
      <c r="Q46" s="173"/>
      <c r="R46" s="173"/>
      <c r="S46" s="173"/>
      <c r="T46" s="12"/>
      <c r="U46" s="12"/>
      <c r="V46" s="12"/>
      <c r="W46" s="12"/>
    </row>
    <row r="47" spans="2:23">
      <c r="B47" s="1"/>
      <c r="C47" s="12"/>
      <c r="D47" s="173"/>
      <c r="E47" s="173"/>
      <c r="F47" s="173"/>
      <c r="G47" s="173"/>
      <c r="H47" s="173"/>
      <c r="I47" s="173"/>
      <c r="J47" s="173"/>
      <c r="K47" s="173"/>
      <c r="L47" s="173"/>
      <c r="M47" s="173"/>
      <c r="N47" s="173"/>
      <c r="O47" s="173"/>
      <c r="P47" s="173"/>
      <c r="Q47" s="173"/>
      <c r="R47" s="173"/>
      <c r="S47" s="173"/>
      <c r="T47" s="12"/>
      <c r="U47" s="12"/>
      <c r="V47" s="12"/>
      <c r="W47" s="12"/>
    </row>
    <row r="48" spans="2:23">
      <c r="B48" s="1"/>
      <c r="C48" s="12"/>
      <c r="D48" s="173"/>
      <c r="E48" s="173"/>
      <c r="F48" s="173"/>
      <c r="G48" s="173"/>
      <c r="H48" s="173"/>
      <c r="I48" s="173"/>
      <c r="J48" s="173"/>
      <c r="K48" s="173"/>
      <c r="L48" s="173"/>
      <c r="M48" s="173"/>
      <c r="N48" s="173"/>
      <c r="O48" s="173"/>
      <c r="P48" s="173"/>
      <c r="Q48" s="173"/>
      <c r="R48" s="173"/>
      <c r="S48" s="173"/>
      <c r="T48" s="12"/>
      <c r="U48" s="12"/>
      <c r="V48" s="12"/>
      <c r="W48" s="12"/>
    </row>
    <row r="49" spans="2:23">
      <c r="B49" s="1"/>
      <c r="C49" s="12"/>
      <c r="D49" s="173"/>
      <c r="E49" s="173"/>
      <c r="F49" s="173"/>
      <c r="G49" s="173"/>
      <c r="H49" s="173"/>
      <c r="I49" s="173"/>
      <c r="J49" s="173"/>
      <c r="K49" s="173"/>
      <c r="L49" s="173"/>
      <c r="M49" s="173"/>
      <c r="N49" s="173"/>
      <c r="O49" s="173"/>
      <c r="P49" s="173"/>
      <c r="Q49" s="173"/>
      <c r="R49" s="173"/>
      <c r="S49" s="173"/>
      <c r="T49" s="12"/>
      <c r="U49" s="12"/>
      <c r="V49" s="12"/>
      <c r="W49" s="12"/>
    </row>
    <row r="50" spans="2:23">
      <c r="B50" s="1"/>
      <c r="C50" s="12"/>
      <c r="D50" s="173"/>
      <c r="E50" s="173"/>
      <c r="F50" s="173"/>
      <c r="G50" s="173"/>
      <c r="H50" s="173"/>
      <c r="I50" s="173"/>
      <c r="J50" s="173"/>
      <c r="K50" s="173"/>
      <c r="L50" s="173"/>
      <c r="M50" s="173"/>
      <c r="N50" s="173"/>
      <c r="O50" s="173"/>
      <c r="P50" s="173"/>
      <c r="Q50" s="173"/>
      <c r="R50" s="173"/>
      <c r="S50" s="173"/>
      <c r="T50" s="12"/>
      <c r="U50" s="12"/>
      <c r="V50" s="12"/>
      <c r="W50" s="12"/>
    </row>
    <row r="51" spans="2:23">
      <c r="B51" s="1"/>
      <c r="C51" s="12"/>
      <c r="D51" s="173"/>
      <c r="E51" s="173"/>
      <c r="F51" s="173"/>
      <c r="G51" s="173"/>
      <c r="H51" s="173"/>
      <c r="I51" s="173"/>
      <c r="J51" s="173"/>
      <c r="K51" s="173"/>
      <c r="L51" s="173"/>
      <c r="M51" s="173"/>
      <c r="N51" s="173"/>
      <c r="O51" s="173"/>
      <c r="P51" s="173"/>
      <c r="Q51" s="173"/>
      <c r="R51" s="173"/>
      <c r="S51" s="173"/>
      <c r="T51" s="12"/>
      <c r="U51" s="12"/>
      <c r="V51" s="12"/>
      <c r="W51" s="12"/>
    </row>
    <row r="52" spans="2:23">
      <c r="B52" s="1"/>
      <c r="C52" s="12"/>
      <c r="D52" s="173"/>
      <c r="E52" s="173"/>
      <c r="F52" s="173"/>
      <c r="G52" s="173"/>
      <c r="H52" s="173"/>
      <c r="I52" s="173"/>
      <c r="J52" s="173"/>
      <c r="K52" s="173"/>
      <c r="L52" s="173"/>
      <c r="M52" s="173"/>
      <c r="N52" s="173"/>
      <c r="O52" s="173"/>
      <c r="P52" s="173"/>
      <c r="Q52" s="173"/>
      <c r="R52" s="173"/>
      <c r="S52" s="173"/>
      <c r="T52" s="12"/>
      <c r="U52" s="12"/>
      <c r="V52" s="12"/>
      <c r="W52" s="12"/>
    </row>
    <row r="53" spans="2:23">
      <c r="B53" s="1"/>
      <c r="C53" s="12"/>
      <c r="D53" s="173"/>
      <c r="E53" s="173"/>
      <c r="F53" s="173"/>
      <c r="G53" s="173"/>
      <c r="H53" s="173"/>
      <c r="I53" s="173"/>
      <c r="J53" s="173"/>
      <c r="K53" s="173"/>
      <c r="L53" s="173"/>
      <c r="M53" s="173"/>
      <c r="N53" s="173"/>
      <c r="O53" s="173"/>
      <c r="P53" s="173"/>
      <c r="Q53" s="173"/>
      <c r="R53" s="173"/>
      <c r="S53" s="173"/>
      <c r="T53" s="12"/>
      <c r="U53" s="12"/>
      <c r="V53" s="12"/>
      <c r="W53" s="12"/>
    </row>
    <row r="54" spans="2:23">
      <c r="B54" s="1"/>
      <c r="C54" s="12"/>
      <c r="D54" s="173"/>
      <c r="E54" s="173"/>
      <c r="F54" s="173"/>
      <c r="G54" s="173"/>
      <c r="H54" s="173"/>
      <c r="I54" s="173"/>
      <c r="J54" s="173"/>
      <c r="K54" s="173"/>
      <c r="L54" s="173"/>
      <c r="M54" s="173"/>
      <c r="N54" s="173"/>
      <c r="O54" s="173"/>
      <c r="P54" s="173"/>
      <c r="Q54" s="173"/>
      <c r="R54" s="173"/>
      <c r="S54" s="173"/>
      <c r="T54" s="12"/>
      <c r="U54" s="12"/>
      <c r="V54" s="12"/>
      <c r="W54" s="12"/>
    </row>
    <row r="55" spans="2:23">
      <c r="B55" s="1"/>
      <c r="C55" s="12"/>
      <c r="D55" s="173"/>
      <c r="E55" s="173"/>
      <c r="F55" s="173"/>
      <c r="G55" s="173"/>
      <c r="H55" s="173"/>
      <c r="I55" s="173"/>
      <c r="J55" s="173"/>
      <c r="K55" s="173"/>
      <c r="L55" s="173"/>
      <c r="M55" s="173"/>
      <c r="N55" s="173"/>
      <c r="O55" s="173"/>
      <c r="P55" s="173"/>
      <c r="Q55" s="173"/>
      <c r="R55" s="173"/>
      <c r="S55" s="173"/>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5"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election activeCell="G15" sqref="G15"/>
    </sheetView>
  </sheetViews>
  <sheetFormatPr defaultColWidth="9.140625" defaultRowHeight="12.75"/>
  <cols>
    <col min="1" max="1" width="3.5703125" style="1198" customWidth="1"/>
    <col min="2" max="2" width="7.28515625" style="1198" customWidth="1"/>
    <col min="3" max="3" width="2.42578125" style="1198" customWidth="1"/>
    <col min="4" max="4" width="29.42578125" style="1198" customWidth="1"/>
    <col min="5" max="5" width="26.42578125" style="1198" customWidth="1"/>
    <col min="6" max="6" width="24.140625" style="1198" bestFit="1" customWidth="1"/>
    <col min="7" max="7" width="22.85546875" style="1198" customWidth="1"/>
    <col min="8" max="8" width="7.42578125" style="1198" customWidth="1"/>
    <col min="9" max="16384" width="9.140625" style="1198"/>
  </cols>
  <sheetData>
    <row r="1" spans="1:11" ht="15">
      <c r="A1" s="1050"/>
    </row>
    <row r="2" spans="1:11" ht="19.5" customHeight="1">
      <c r="A2" s="2447" t="str">
        <f>+'PSO TCOS'!F4</f>
        <v xml:space="preserve">AEP West SPP Member Operating Companies </v>
      </c>
      <c r="B2" s="2447"/>
      <c r="C2" s="2447"/>
      <c r="D2" s="2447"/>
      <c r="E2" s="2447"/>
      <c r="F2" s="2447"/>
      <c r="G2" s="2447"/>
      <c r="H2" s="2447"/>
      <c r="I2" s="785"/>
      <c r="J2" s="785"/>
      <c r="K2" s="785"/>
    </row>
    <row r="3" spans="1:11" ht="15">
      <c r="A3" s="2441" t="str">
        <f>+'PSO WS A-1 - Plant'!A3</f>
        <v xml:space="preserve">Actual / Projected 2018 Rate Year Cost of Service Formula Rate </v>
      </c>
      <c r="B3" s="2441"/>
      <c r="C3" s="2441"/>
      <c r="D3" s="2441"/>
      <c r="E3" s="2441"/>
      <c r="F3" s="2441"/>
      <c r="G3" s="2441"/>
      <c r="H3" s="2441"/>
      <c r="I3" s="940"/>
      <c r="J3" s="940"/>
      <c r="K3" s="940"/>
    </row>
    <row r="4" spans="1:11" ht="15.75">
      <c r="A4" s="2442" t="s">
        <v>113</v>
      </c>
      <c r="B4" s="2441"/>
      <c r="C4" s="2441"/>
      <c r="D4" s="2441"/>
      <c r="E4" s="2441"/>
      <c r="F4" s="2441"/>
      <c r="G4" s="2441"/>
      <c r="H4" s="2441"/>
      <c r="I4" s="940"/>
      <c r="J4" s="940"/>
      <c r="K4" s="940"/>
    </row>
    <row r="5" spans="1:11" ht="15.75">
      <c r="A5" s="2479" t="str">
        <f>+'PSO TCOS'!F8</f>
        <v>PUBLIC SERVICE COMPANY OF OKLAHOMA</v>
      </c>
      <c r="B5" s="2479"/>
      <c r="C5" s="2479"/>
      <c r="D5" s="2479"/>
      <c r="E5" s="2479"/>
      <c r="F5" s="2479"/>
      <c r="G5" s="2479"/>
      <c r="H5" s="2479"/>
      <c r="I5" s="1632"/>
      <c r="J5" s="1632"/>
      <c r="K5" s="1632"/>
    </row>
    <row r="6" spans="1:11" ht="15">
      <c r="D6" s="1023"/>
      <c r="G6" s="1633"/>
      <c r="H6" s="785"/>
      <c r="I6" s="785"/>
    </row>
    <row r="7" spans="1:11" ht="54" customHeight="1">
      <c r="A7" s="1634"/>
      <c r="B7" s="2498" t="s">
        <v>902</v>
      </c>
      <c r="C7" s="2498"/>
      <c r="D7" s="2498"/>
      <c r="E7" s="2498"/>
      <c r="F7" s="2498"/>
      <c r="G7" s="2498"/>
      <c r="H7" s="1634"/>
      <c r="I7" s="785"/>
    </row>
    <row r="8" spans="1:11" ht="18">
      <c r="A8" s="1479"/>
      <c r="B8" s="1479"/>
      <c r="C8" s="1479"/>
      <c r="D8" s="1479"/>
      <c r="E8" s="1479"/>
      <c r="F8" s="1479"/>
      <c r="G8" s="1479"/>
      <c r="H8" s="1479"/>
      <c r="I8" s="785"/>
    </row>
    <row r="9" spans="1:11" ht="18">
      <c r="A9" s="1479"/>
      <c r="B9" s="1479"/>
      <c r="C9" s="1479"/>
      <c r="D9" s="1479"/>
      <c r="E9" s="1479"/>
      <c r="F9" s="1479"/>
      <c r="G9" s="1479"/>
      <c r="H9" s="1479"/>
      <c r="I9" s="785"/>
    </row>
    <row r="10" spans="1:11" ht="18">
      <c r="A10" s="1479"/>
      <c r="B10" s="1267" t="s">
        <v>310</v>
      </c>
      <c r="D10" s="2497" t="s">
        <v>303</v>
      </c>
      <c r="E10" s="2497"/>
      <c r="G10" s="1058" t="s">
        <v>304</v>
      </c>
      <c r="H10" s="1479"/>
      <c r="I10" s="785"/>
    </row>
    <row r="11" spans="1:11" ht="18">
      <c r="A11" s="1479"/>
      <c r="B11" s="1267" t="s">
        <v>248</v>
      </c>
      <c r="D11" s="2496" t="s">
        <v>308</v>
      </c>
      <c r="E11" s="2496"/>
      <c r="G11" s="1267">
        <f>+'PSO TCOS'!N2</f>
        <v>2018</v>
      </c>
      <c r="H11" s="1479"/>
      <c r="I11" s="785"/>
    </row>
    <row r="12" spans="1:11" ht="15">
      <c r="B12" s="1635">
        <v>1</v>
      </c>
      <c r="C12" s="1636"/>
      <c r="H12" s="785"/>
      <c r="I12" s="785"/>
    </row>
    <row r="13" spans="1:11" ht="15">
      <c r="B13" s="1635">
        <f t="shared" ref="B13:B20" si="0">B12+1</f>
        <v>2</v>
      </c>
      <c r="D13" s="1048"/>
      <c r="E13" s="1637"/>
      <c r="G13" s="1543"/>
      <c r="H13" s="785"/>
      <c r="I13" s="785"/>
    </row>
    <row r="14" spans="1:11" ht="15">
      <c r="B14" s="1635">
        <f t="shared" si="0"/>
        <v>3</v>
      </c>
      <c r="D14" s="1048"/>
      <c r="E14" s="1637"/>
      <c r="G14" s="1543"/>
      <c r="H14" s="785"/>
      <c r="I14" s="785"/>
    </row>
    <row r="15" spans="1:11" ht="15">
      <c r="B15" s="1635">
        <f t="shared" si="0"/>
        <v>4</v>
      </c>
      <c r="D15" s="1048"/>
      <c r="E15" s="1637"/>
      <c r="G15" s="1543"/>
      <c r="H15" s="785"/>
      <c r="I15" s="785"/>
    </row>
    <row r="16" spans="1:11" ht="15">
      <c r="B16" s="1635">
        <f t="shared" si="0"/>
        <v>5</v>
      </c>
      <c r="D16" s="1048"/>
      <c r="E16" s="1637"/>
      <c r="G16" s="1543"/>
      <c r="H16" s="785"/>
      <c r="I16" s="785"/>
    </row>
    <row r="17" spans="2:9" ht="15">
      <c r="B17" s="1635">
        <f t="shared" si="0"/>
        <v>6</v>
      </c>
      <c r="D17" s="1048"/>
      <c r="E17" s="1637"/>
      <c r="G17" s="1543"/>
      <c r="H17" s="785"/>
      <c r="I17" s="785"/>
    </row>
    <row r="18" spans="2:9" ht="15">
      <c r="B18" s="1635">
        <f t="shared" si="0"/>
        <v>7</v>
      </c>
      <c r="D18" s="1048"/>
      <c r="E18" s="1637"/>
      <c r="G18" s="1543"/>
      <c r="H18" s="785"/>
      <c r="I18" s="785"/>
    </row>
    <row r="19" spans="2:9" ht="15">
      <c r="B19" s="1635">
        <f t="shared" si="0"/>
        <v>8</v>
      </c>
      <c r="D19" s="1048"/>
      <c r="E19" s="1637"/>
      <c r="G19" s="1543"/>
      <c r="H19" s="785"/>
      <c r="I19" s="785"/>
    </row>
    <row r="20" spans="2:9" ht="15">
      <c r="B20" s="1635">
        <f t="shared" si="0"/>
        <v>9</v>
      </c>
      <c r="D20" s="1048"/>
      <c r="E20" s="1637"/>
      <c r="G20" s="1543"/>
      <c r="H20" s="785"/>
      <c r="I20" s="785"/>
    </row>
    <row r="21" spans="2:9" ht="15">
      <c r="B21" s="1635">
        <f>+B20+1</f>
        <v>10</v>
      </c>
      <c r="D21" s="1638" t="s">
        <v>260</v>
      </c>
      <c r="F21" s="1198" t="str">
        <f>"( sum of lines "&amp;B13&amp;"  through "&amp;B20&amp;" )"</f>
        <v>( sum of lines 2  through 9 )</v>
      </c>
      <c r="G21" s="1639">
        <f>SUM(G13:G20)</f>
        <v>0</v>
      </c>
      <c r="H21" s="785"/>
      <c r="I21" s="785"/>
    </row>
    <row r="22" spans="2:9" ht="15">
      <c r="B22" s="1635"/>
      <c r="G22" s="1640"/>
      <c r="H22" s="785"/>
      <c r="I22" s="785"/>
    </row>
    <row r="23" spans="2:9" s="1008" customFormat="1" ht="15" customHeight="1"/>
    <row r="24" spans="2:9" s="1008" customFormat="1"/>
    <row r="25" spans="2:9" s="1008" customFormat="1"/>
    <row r="26" spans="2:9" s="1008" customFormat="1" ht="23.25" customHeight="1"/>
    <row r="27" spans="2:9" s="1008" customFormat="1"/>
    <row r="28" spans="2:9" s="1008" customFormat="1"/>
    <row r="29" spans="2:9" s="1008" customFormat="1"/>
    <row r="30" spans="2:9" s="1008"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46"/>
  <sheetViews>
    <sheetView topLeftCell="A16" zoomScale="70" zoomScaleNormal="70" zoomScaleSheetLayoutView="75" workbookViewId="0">
      <selection activeCell="D35" sqref="D35"/>
    </sheetView>
  </sheetViews>
  <sheetFormatPr defaultColWidth="9.140625" defaultRowHeight="15"/>
  <cols>
    <col min="1" max="1" width="10.42578125" style="37" customWidth="1"/>
    <col min="2" max="2" width="12.7109375" style="26" customWidth="1"/>
    <col min="3" max="3" width="66.140625" style="17" customWidth="1"/>
    <col min="4" max="4" width="17.85546875" style="17" customWidth="1"/>
    <col min="5" max="5" width="24.42578125" style="17" customWidth="1"/>
    <col min="6" max="6" width="17.28515625" style="17" customWidth="1"/>
    <col min="7" max="7" width="87.85546875" style="17" customWidth="1"/>
    <col min="8" max="8" width="13.85546875" style="17" customWidth="1"/>
    <col min="9" max="10" width="12.7109375" style="17" customWidth="1"/>
    <col min="11" max="11" width="13.28515625" style="17" customWidth="1"/>
    <col min="12" max="19" width="9.140625" style="17"/>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17"/>
  </cols>
  <sheetData>
    <row r="1" spans="1:11">
      <c r="A1" s="288"/>
    </row>
    <row r="2" spans="1:11" ht="23.25" customHeight="1">
      <c r="A2" s="2500" t="str">
        <f>+'PSO WS H Rev Credits'!A3:N3</f>
        <v xml:space="preserve">AEP West SPP Member Operating Companies </v>
      </c>
      <c r="B2" s="2500"/>
      <c r="C2" s="2500"/>
      <c r="D2" s="2500"/>
      <c r="E2" s="2500"/>
      <c r="F2" s="2500"/>
      <c r="G2" s="2500"/>
      <c r="H2" s="71"/>
    </row>
    <row r="3" spans="1:11" ht="18.75" customHeight="1">
      <c r="A3" s="2500" t="str">
        <f>+'PSO WS A-1 - Plant'!A3</f>
        <v xml:space="preserve">Actual / Projected 2018 Rate Year Cost of Service Formula Rate </v>
      </c>
      <c r="B3" s="2500"/>
      <c r="C3" s="2500"/>
      <c r="D3" s="2500"/>
      <c r="E3" s="2500"/>
      <c r="F3" s="2500"/>
      <c r="G3" s="2500"/>
      <c r="H3" s="104"/>
      <c r="I3" s="104"/>
      <c r="J3" s="104"/>
      <c r="K3" s="104"/>
    </row>
    <row r="4" spans="1:11" ht="19.5" customHeight="1">
      <c r="A4" s="2502" t="s">
        <v>114</v>
      </c>
      <c r="B4" s="2500"/>
      <c r="C4" s="2500"/>
      <c r="D4" s="2500"/>
      <c r="E4" s="2500"/>
      <c r="F4" s="2500"/>
      <c r="G4" s="2500"/>
    </row>
    <row r="5" spans="1:11" ht="18" customHeight="1">
      <c r="A5" s="2503" t="str">
        <f>+'PSO TCOS'!F8</f>
        <v>PUBLIC SERVICE COMPANY OF OKLAHOMA</v>
      </c>
      <c r="B5" s="2503"/>
      <c r="C5" s="2503"/>
      <c r="D5" s="2503"/>
      <c r="E5" s="2503"/>
      <c r="F5" s="2503"/>
      <c r="G5" s="2503"/>
    </row>
    <row r="6" spans="1:11" ht="12.75" customHeight="1">
      <c r="A6" s="2501"/>
      <c r="B6" s="2501"/>
      <c r="C6" s="2501"/>
      <c r="D6" s="2501"/>
      <c r="E6" s="2501"/>
      <c r="F6" s="2501"/>
      <c r="G6" s="30"/>
    </row>
    <row r="7" spans="1:11" ht="18">
      <c r="A7" s="2454"/>
      <c r="B7" s="2454"/>
      <c r="C7" s="2454"/>
      <c r="D7" s="2454"/>
      <c r="E7" s="2454"/>
      <c r="F7" s="2454"/>
      <c r="G7" s="2454"/>
    </row>
    <row r="8" spans="1:11" ht="18">
      <c r="A8" s="105"/>
      <c r="B8" s="105"/>
      <c r="C8" s="105"/>
      <c r="D8" s="105"/>
      <c r="E8" s="105"/>
      <c r="F8" s="105"/>
      <c r="G8" s="105"/>
    </row>
    <row r="9" spans="1:11" ht="15.75">
      <c r="B9" s="32" t="s">
        <v>303</v>
      </c>
      <c r="C9" s="32" t="s">
        <v>304</v>
      </c>
      <c r="D9" s="32" t="s">
        <v>305</v>
      </c>
      <c r="E9" s="32" t="s">
        <v>306</v>
      </c>
      <c r="F9" s="32" t="s">
        <v>231</v>
      </c>
      <c r="G9" s="32" t="s">
        <v>232</v>
      </c>
    </row>
    <row r="10" spans="1:11" ht="15.75">
      <c r="B10" s="86"/>
      <c r="C10" s="30"/>
      <c r="D10" s="52"/>
      <c r="E10" s="53"/>
      <c r="F10" s="54" t="s">
        <v>234</v>
      </c>
      <c r="G10" s="32"/>
    </row>
    <row r="11" spans="1:11" ht="15.75">
      <c r="A11" s="36" t="s">
        <v>310</v>
      </c>
      <c r="B11" s="36" t="s">
        <v>152</v>
      </c>
      <c r="C11" s="87"/>
      <c r="D11" s="36">
        <f>+'PSO TCOS'!N2</f>
        <v>2018</v>
      </c>
      <c r="E11" s="54" t="s">
        <v>234</v>
      </c>
      <c r="F11" s="36" t="s">
        <v>257</v>
      </c>
      <c r="G11" s="32" t="s">
        <v>425</v>
      </c>
    </row>
    <row r="12" spans="1:11" ht="15.75">
      <c r="A12" s="36" t="s">
        <v>248</v>
      </c>
      <c r="B12" s="36" t="s">
        <v>153</v>
      </c>
      <c r="C12" s="36" t="s">
        <v>308</v>
      </c>
      <c r="D12" s="36" t="s">
        <v>217</v>
      </c>
      <c r="E12" s="36" t="s">
        <v>236</v>
      </c>
      <c r="F12" s="36" t="s">
        <v>218</v>
      </c>
      <c r="G12" s="251" t="s">
        <v>426</v>
      </c>
    </row>
    <row r="13" spans="1:11" ht="15.75">
      <c r="B13" s="36"/>
      <c r="C13" s="36"/>
      <c r="D13" s="36"/>
      <c r="E13" s="36"/>
      <c r="F13" s="36"/>
      <c r="G13" s="36"/>
    </row>
    <row r="14" spans="1:11" ht="15" customHeight="1">
      <c r="B14" s="37"/>
      <c r="C14" s="43" t="s">
        <v>353</v>
      </c>
      <c r="D14" s="30"/>
      <c r="E14" s="30"/>
      <c r="F14" s="30"/>
      <c r="G14" s="30"/>
    </row>
    <row r="15" spans="1:11" ht="15.75" customHeight="1">
      <c r="A15" s="78">
        <v>1</v>
      </c>
      <c r="B15" s="592" t="s">
        <v>1809</v>
      </c>
      <c r="C15" s="593" t="s">
        <v>1810</v>
      </c>
      <c r="D15" s="241">
        <v>1450394</v>
      </c>
      <c r="E15" s="241">
        <f>+D15</f>
        <v>1450394</v>
      </c>
      <c r="F15" s="241">
        <v>0</v>
      </c>
      <c r="G15" s="242" t="s">
        <v>1811</v>
      </c>
      <c r="I15" s="69"/>
      <c r="J15" s="69"/>
    </row>
    <row r="16" spans="1:11">
      <c r="A16" s="78">
        <v>1</v>
      </c>
      <c r="B16" s="592" t="s">
        <v>1812</v>
      </c>
      <c r="C16" s="240" t="s">
        <v>1813</v>
      </c>
      <c r="D16" s="241">
        <v>13298</v>
      </c>
      <c r="E16" s="241">
        <v>13298</v>
      </c>
      <c r="F16" s="241">
        <v>0</v>
      </c>
      <c r="G16" s="242" t="s">
        <v>1814</v>
      </c>
    </row>
    <row r="17" spans="1:43">
      <c r="A17" s="78">
        <f t="shared" ref="A17:A21" si="0">+A16+1</f>
        <v>2</v>
      </c>
      <c r="B17" s="592" t="s">
        <v>1812</v>
      </c>
      <c r="C17" s="240" t="s">
        <v>1815</v>
      </c>
      <c r="D17" s="241">
        <v>699</v>
      </c>
      <c r="E17" s="241">
        <f>+D17</f>
        <v>699</v>
      </c>
      <c r="F17" s="241">
        <v>0</v>
      </c>
      <c r="G17" s="242" t="s">
        <v>1816</v>
      </c>
    </row>
    <row r="18" spans="1:43">
      <c r="A18" s="78">
        <f t="shared" si="0"/>
        <v>3</v>
      </c>
      <c r="B18" s="592" t="s">
        <v>1817</v>
      </c>
      <c r="C18" s="240" t="s">
        <v>1818</v>
      </c>
      <c r="D18" s="241">
        <v>1809330</v>
      </c>
      <c r="E18" s="241">
        <f>+D18</f>
        <v>1809330</v>
      </c>
      <c r="F18" s="241">
        <v>0</v>
      </c>
      <c r="G18" s="242" t="s">
        <v>1579</v>
      </c>
    </row>
    <row r="19" spans="1:43" s="600" customFormat="1" ht="17.25" customHeight="1">
      <c r="A19" s="78">
        <f t="shared" si="0"/>
        <v>4</v>
      </c>
      <c r="B19" s="597" t="s">
        <v>1817</v>
      </c>
      <c r="C19" s="240" t="s">
        <v>1819</v>
      </c>
      <c r="D19" s="598">
        <v>68409</v>
      </c>
      <c r="E19" s="598">
        <f>+D19</f>
        <v>68409</v>
      </c>
      <c r="F19" s="599">
        <v>0</v>
      </c>
      <c r="G19" s="242" t="s">
        <v>1820</v>
      </c>
      <c r="T19" s="601"/>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row>
    <row r="20" spans="1:43" s="600" customFormat="1" ht="36" customHeight="1">
      <c r="A20" s="596">
        <f t="shared" si="0"/>
        <v>5</v>
      </c>
      <c r="B20" s="597" t="s">
        <v>1817</v>
      </c>
      <c r="C20" s="240" t="s">
        <v>1819</v>
      </c>
      <c r="D20" s="598">
        <v>26124</v>
      </c>
      <c r="E20" s="598">
        <v>26124</v>
      </c>
      <c r="F20" s="599">
        <v>0</v>
      </c>
      <c r="G20" s="242" t="s">
        <v>1821</v>
      </c>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row>
    <row r="21" spans="1:43" s="600" customFormat="1" ht="17.25" customHeight="1">
      <c r="A21" s="596">
        <f t="shared" si="0"/>
        <v>6</v>
      </c>
      <c r="B21" s="594" t="s">
        <v>1822</v>
      </c>
      <c r="C21" s="240" t="s">
        <v>1823</v>
      </c>
      <c r="D21" s="598">
        <v>753811</v>
      </c>
      <c r="E21" s="598">
        <v>736999</v>
      </c>
      <c r="F21" s="595">
        <v>16812</v>
      </c>
      <c r="G21" s="242" t="s">
        <v>1824</v>
      </c>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row>
    <row r="22" spans="1:43" s="600" customFormat="1" ht="45">
      <c r="A22" s="596"/>
      <c r="B22" s="594" t="s">
        <v>1576</v>
      </c>
      <c r="C22" s="609" t="s">
        <v>1577</v>
      </c>
      <c r="D22" s="610">
        <v>130359</v>
      </c>
      <c r="E22" s="610">
        <f>+D22</f>
        <v>130359</v>
      </c>
      <c r="F22" s="595">
        <v>0</v>
      </c>
      <c r="G22" s="242" t="s">
        <v>1578</v>
      </c>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row>
    <row r="23" spans="1:43">
      <c r="B23" s="172"/>
      <c r="C23" s="68"/>
      <c r="D23" s="88"/>
      <c r="E23" s="89"/>
      <c r="F23" s="90"/>
      <c r="G23" s="30"/>
    </row>
    <row r="24" spans="1:43" ht="15.75">
      <c r="A24" s="596">
        <f>+A21+1</f>
        <v>7</v>
      </c>
      <c r="B24" s="171"/>
      <c r="C24" s="252" t="s">
        <v>861</v>
      </c>
      <c r="D24" s="91">
        <f>SUM(D15:D22)</f>
        <v>4252424</v>
      </c>
      <c r="E24" s="91">
        <f>SUM(E15:E22)</f>
        <v>4235612</v>
      </c>
      <c r="F24" s="91">
        <f>SUM(F15:F22)</f>
        <v>16812</v>
      </c>
      <c r="G24" s="73"/>
    </row>
    <row r="25" spans="1:43" ht="15.75">
      <c r="B25" s="171"/>
      <c r="C25" s="92"/>
      <c r="D25" s="40"/>
      <c r="E25" s="30"/>
      <c r="F25" s="30"/>
      <c r="G25" s="30"/>
    </row>
    <row r="26" spans="1:43" ht="15.75">
      <c r="B26" s="170"/>
      <c r="C26" s="43" t="s">
        <v>352</v>
      </c>
      <c r="D26" s="30"/>
      <c r="E26" s="30"/>
      <c r="F26" s="30"/>
      <c r="G26" s="30"/>
      <c r="H26"/>
    </row>
    <row r="27" spans="1:43">
      <c r="A27" s="37">
        <f>A24+1</f>
        <v>8</v>
      </c>
      <c r="B27" s="602" t="s">
        <v>1575</v>
      </c>
      <c r="C27" s="243" t="s">
        <v>1825</v>
      </c>
      <c r="D27" s="238">
        <v>432250</v>
      </c>
      <c r="E27" s="238">
        <f>+D27</f>
        <v>432250</v>
      </c>
      <c r="F27" s="238">
        <v>0</v>
      </c>
      <c r="G27" s="237"/>
      <c r="H27"/>
    </row>
    <row r="28" spans="1:43">
      <c r="A28" s="37">
        <f>+A27+1</f>
        <v>9</v>
      </c>
      <c r="B28" s="602"/>
      <c r="C28" s="243"/>
      <c r="D28" s="238"/>
      <c r="E28" s="238"/>
      <c r="F28" s="238"/>
      <c r="G28" s="237"/>
      <c r="H28"/>
    </row>
    <row r="29" spans="1:43">
      <c r="A29" s="37">
        <f>+A28+1</f>
        <v>10</v>
      </c>
      <c r="B29" s="602"/>
      <c r="C29" s="243"/>
      <c r="D29" s="238"/>
      <c r="E29" s="238"/>
      <c r="F29" s="238"/>
      <c r="G29" s="237"/>
      <c r="H29"/>
      <c r="M29" s="27"/>
      <c r="N29" s="27"/>
      <c r="O29" s="29"/>
      <c r="P29" s="29"/>
      <c r="Q29" s="29"/>
      <c r="R29" s="29"/>
      <c r="S29" s="29"/>
    </row>
    <row r="30" spans="1:43">
      <c r="A30" s="37">
        <f>+A29+1</f>
        <v>11</v>
      </c>
      <c r="B30" s="602"/>
      <c r="C30" s="243"/>
      <c r="D30" s="238"/>
      <c r="E30" s="238"/>
      <c r="F30" s="238"/>
      <c r="G30" s="237"/>
      <c r="H30"/>
      <c r="M30" s="27"/>
      <c r="N30" s="27"/>
      <c r="O30" s="29"/>
      <c r="P30" s="29"/>
      <c r="Q30" s="29"/>
      <c r="R30" s="29"/>
      <c r="S30" s="29"/>
    </row>
    <row r="31" spans="1:43">
      <c r="B31" s="172"/>
      <c r="C31" s="30"/>
      <c r="D31" s="94"/>
      <c r="E31" s="95"/>
      <c r="F31" s="94"/>
      <c r="G31" s="30"/>
      <c r="H31"/>
    </row>
    <row r="32" spans="1:43" ht="15.75">
      <c r="A32" s="37">
        <f>+A30+1</f>
        <v>12</v>
      </c>
      <c r="B32" s="171"/>
      <c r="C32" s="250" t="s">
        <v>862</v>
      </c>
      <c r="D32" s="96">
        <f>SUM(D27:D31)</f>
        <v>432250</v>
      </c>
      <c r="E32" s="96">
        <f>SUM(E27:E31)</f>
        <v>432250</v>
      </c>
      <c r="F32" s="96">
        <f>SUM(F27:F31)</f>
        <v>0</v>
      </c>
      <c r="G32" s="28"/>
    </row>
    <row r="33" spans="1:10" ht="12.75" customHeight="1">
      <c r="B33" s="47"/>
      <c r="C33" s="23"/>
      <c r="D33" s="97"/>
      <c r="E33" s="97"/>
      <c r="F33" s="97"/>
      <c r="G33" s="23"/>
    </row>
    <row r="34" spans="1:10" ht="15.75">
      <c r="B34" s="169"/>
      <c r="C34" s="43" t="s">
        <v>351</v>
      </c>
      <c r="D34" s="74"/>
      <c r="E34" s="74"/>
      <c r="F34" s="74"/>
      <c r="G34" s="32"/>
    </row>
    <row r="35" spans="1:10">
      <c r="A35" s="37">
        <f>+A32+1</f>
        <v>13</v>
      </c>
      <c r="B35" s="603" t="s">
        <v>1574</v>
      </c>
      <c r="C35" s="243" t="s">
        <v>1826</v>
      </c>
      <c r="D35" s="238">
        <v>3169174</v>
      </c>
      <c r="E35" s="238">
        <v>2893157</v>
      </c>
      <c r="F35" s="238">
        <v>276017</v>
      </c>
      <c r="G35" s="237"/>
      <c r="H35"/>
      <c r="I35"/>
    </row>
    <row r="36" spans="1:10">
      <c r="A36" s="37">
        <f>+A35+1</f>
        <v>14</v>
      </c>
      <c r="B36" s="603"/>
      <c r="C36" s="243"/>
      <c r="D36" s="238"/>
      <c r="E36" s="238"/>
      <c r="F36" s="238"/>
      <c r="G36" s="237"/>
      <c r="H36"/>
      <c r="I36"/>
    </row>
    <row r="37" spans="1:10">
      <c r="A37" s="37">
        <f>+A36+1</f>
        <v>15</v>
      </c>
      <c r="B37" s="603"/>
      <c r="C37" s="243"/>
      <c r="D37" s="238"/>
      <c r="E37" s="238"/>
      <c r="F37" s="238"/>
      <c r="G37" s="237"/>
      <c r="H37"/>
      <c r="I37"/>
    </row>
    <row r="38" spans="1:10">
      <c r="B38" s="23"/>
      <c r="C38" s="23"/>
      <c r="D38" s="23"/>
      <c r="E38" s="23"/>
      <c r="F38" s="23"/>
      <c r="G38" s="23"/>
    </row>
    <row r="39" spans="1:10" ht="15.75">
      <c r="A39" s="37" t="e">
        <f>+#REF!+1</f>
        <v>#REF!</v>
      </c>
      <c r="B39" s="23"/>
      <c r="C39" s="250" t="s">
        <v>863</v>
      </c>
      <c r="D39" s="91">
        <f>SUM(D35:D38)</f>
        <v>3169174</v>
      </c>
      <c r="E39" s="93">
        <f>SUM(E35:E38)</f>
        <v>2893157</v>
      </c>
      <c r="F39" s="93">
        <f>SUM(F35:F38)</f>
        <v>276017</v>
      </c>
      <c r="G39" s="28"/>
      <c r="J39" s="70"/>
    </row>
    <row r="40" spans="1:10">
      <c r="B40" s="15"/>
      <c r="C40" s="15"/>
      <c r="D40" s="81"/>
      <c r="E40" s="15"/>
      <c r="F40" s="15"/>
      <c r="G40" s="15"/>
    </row>
    <row r="42" spans="1:10" ht="47.25" customHeight="1">
      <c r="B42" s="2499"/>
      <c r="C42" s="2499"/>
      <c r="D42" s="2499"/>
      <c r="E42" s="2499"/>
      <c r="F42" s="2499"/>
      <c r="G42" s="2499"/>
    </row>
    <row r="43" spans="1:10">
      <c r="D43" s="76"/>
    </row>
    <row r="46" spans="1:10">
      <c r="D46" s="77"/>
    </row>
  </sheetData>
  <mergeCells count="7">
    <mergeCell ref="B42:G42"/>
    <mergeCell ref="A2:G2"/>
    <mergeCell ref="A7:G7"/>
    <mergeCell ref="A6:F6"/>
    <mergeCell ref="A3:G3"/>
    <mergeCell ref="A4:G4"/>
    <mergeCell ref="A5:G5"/>
  </mergeCells>
  <phoneticPr fontId="0" type="noConversion"/>
  <conditionalFormatting sqref="H32 K15 H39:I39 H24:I24 H15:H22">
    <cfRule type="cellIs" dxfId="5" priority="4" stopIfTrue="1" operator="equal">
      <formula>FALSE</formula>
    </cfRule>
  </conditionalFormatting>
  <printOptions horizontalCentered="1"/>
  <pageMargins left="0.75" right="0.75" top="1" bottom="0.25" header="0.65" footer="0.5"/>
  <pageSetup scale="38" orientation="portrait" horizontalDpi="1200" verticalDpi="1200" r:id="rId1"/>
  <headerFooter alignWithMargins="0">
    <oddHeader xml:space="preserve">&amp;R&amp;12AEP - SPP Formula Rate
 TCOS - WS J
Page: &amp;P of &amp;N&amp;16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53"/>
  <sheetViews>
    <sheetView topLeftCell="A31" zoomScale="81" zoomScaleNormal="81" zoomScaleSheetLayoutView="75" workbookViewId="0">
      <selection activeCell="I42" sqref="I42"/>
    </sheetView>
  </sheetViews>
  <sheetFormatPr defaultColWidth="8.85546875" defaultRowHeight="12.75"/>
  <cols>
    <col min="1" max="1" width="9.28515625" style="15" bestFit="1" customWidth="1"/>
    <col min="2" max="2" width="32.5703125" style="15" customWidth="1"/>
    <col min="3" max="4" width="8.85546875" style="15"/>
    <col min="5" max="5" width="15" style="15" customWidth="1"/>
    <col min="6" max="6" width="11" style="15" bestFit="1" customWidth="1"/>
    <col min="7" max="7" width="10.85546875" style="15" customWidth="1"/>
    <col min="8" max="8" width="5" style="15" customWidth="1"/>
    <col min="9" max="9" width="21" style="15" bestFit="1" customWidth="1"/>
    <col min="10" max="10" width="2.140625" style="15" customWidth="1"/>
    <col min="11" max="11" width="15.5703125" style="15" bestFit="1" customWidth="1"/>
    <col min="12" max="12" width="4.85546875" style="15" customWidth="1"/>
    <col min="13" max="16384" width="8.85546875" style="15"/>
  </cols>
  <sheetData>
    <row r="1" spans="1:12" ht="15">
      <c r="A1" s="284"/>
    </row>
    <row r="2" spans="1:12" ht="18">
      <c r="A2" s="2501" t="str">
        <f>+'PSO TCOS'!F4</f>
        <v xml:space="preserve">AEP West SPP Member Operating Companies </v>
      </c>
      <c r="B2" s="2501"/>
      <c r="C2" s="2501"/>
      <c r="D2" s="2501"/>
      <c r="E2" s="2501"/>
      <c r="F2" s="2501"/>
      <c r="G2" s="2501"/>
      <c r="H2" s="2501"/>
      <c r="I2" s="133"/>
      <c r="J2" s="133"/>
    </row>
    <row r="3" spans="1:12" ht="18">
      <c r="A3" s="2505" t="str">
        <f>+'PSO WS A-1 - Plant'!A3</f>
        <v xml:space="preserve">Actual / Projected 2018 Rate Year Cost of Service Formula Rate </v>
      </c>
      <c r="B3" s="2505"/>
      <c r="C3" s="2505"/>
      <c r="D3" s="2505"/>
      <c r="E3" s="2505"/>
      <c r="F3" s="2505"/>
      <c r="G3" s="2505"/>
      <c r="H3" s="2505"/>
      <c r="I3" s="133"/>
      <c r="J3" s="133"/>
    </row>
    <row r="4" spans="1:12" ht="18">
      <c r="A4" s="2506" t="s">
        <v>115</v>
      </c>
      <c r="B4" s="2505"/>
      <c r="C4" s="2505"/>
      <c r="D4" s="2505"/>
      <c r="E4" s="2505"/>
      <c r="F4" s="2505"/>
      <c r="G4" s="2505"/>
      <c r="H4" s="2505"/>
      <c r="I4" s="133"/>
      <c r="J4" s="133"/>
    </row>
    <row r="5" spans="1:12" ht="18">
      <c r="A5" s="2503" t="str">
        <f>+'PSO TCOS'!F8</f>
        <v>PUBLIC SERVICE COMPANY OF OKLAHOMA</v>
      </c>
      <c r="B5" s="2503"/>
      <c r="C5" s="2503"/>
      <c r="D5" s="2503"/>
      <c r="E5" s="2503"/>
      <c r="F5" s="2503"/>
      <c r="G5" s="2503"/>
      <c r="I5" s="133"/>
      <c r="J5" s="133"/>
    </row>
    <row r="7" spans="1:12" ht="21.75" customHeight="1">
      <c r="A7" s="254" t="s">
        <v>312</v>
      </c>
      <c r="B7" s="44" t="str">
        <f>"DEVELOPMENT OF COMPOSITE STATE INCOME TAX  RATES FOR "&amp;'PSO TCOS'!$N$2&amp;""</f>
        <v>DEVELOPMENT OF COMPOSITE STATE INCOME TAX  RATES FOR 2018</v>
      </c>
      <c r="C7" s="44"/>
      <c r="D7" s="44"/>
      <c r="E7" s="44"/>
      <c r="F7" s="44"/>
      <c r="G7" s="44"/>
      <c r="H7" s="44"/>
      <c r="I7" s="44"/>
      <c r="J7" s="44"/>
    </row>
    <row r="8" spans="1:12" ht="12.75" customHeight="1">
      <c r="A8" s="44"/>
    </row>
    <row r="9" spans="1:12" ht="18">
      <c r="A9" s="79"/>
      <c r="B9" s="255" t="s">
        <v>131</v>
      </c>
      <c r="C9" s="255"/>
      <c r="D9" s="34" t="s">
        <v>132</v>
      </c>
      <c r="E9" s="147">
        <v>5.6599999999999998E-2</v>
      </c>
      <c r="F9" s="23"/>
      <c r="G9" s="24"/>
      <c r="H9" s="24"/>
      <c r="L9" s="59"/>
    </row>
    <row r="10" spans="1:12" ht="15">
      <c r="A10" s="59"/>
      <c r="B10" s="22" t="s">
        <v>342</v>
      </c>
      <c r="C10" s="33"/>
      <c r="D10" s="33"/>
      <c r="E10" s="147">
        <v>0.96968299999999996</v>
      </c>
      <c r="F10" s="23"/>
      <c r="G10" s="24"/>
      <c r="H10" s="24"/>
      <c r="L10" s="59"/>
    </row>
    <row r="11" spans="1:12" ht="15">
      <c r="A11" s="59"/>
      <c r="B11" s="22" t="s">
        <v>36</v>
      </c>
      <c r="C11" s="33"/>
      <c r="D11" s="33"/>
      <c r="E11" s="23"/>
      <c r="F11" s="60">
        <f>ROUND(E9*E10,6)</f>
        <v>5.4884000000000002E-2</v>
      </c>
      <c r="G11" s="24"/>
      <c r="L11" s="59"/>
    </row>
    <row r="12" spans="1:12" ht="15">
      <c r="A12" s="59"/>
      <c r="B12" s="22"/>
      <c r="C12" s="33"/>
      <c r="D12" s="33"/>
      <c r="E12" s="33"/>
      <c r="F12" s="35"/>
      <c r="G12" s="24"/>
      <c r="L12" s="59"/>
    </row>
    <row r="13" spans="1:12" ht="15">
      <c r="A13" s="59"/>
      <c r="B13" s="255" t="s">
        <v>1393</v>
      </c>
      <c r="C13" s="255"/>
      <c r="D13" s="33"/>
      <c r="E13" s="147">
        <v>7.4999999999999997E-3</v>
      </c>
      <c r="F13" s="60"/>
      <c r="G13" s="24"/>
      <c r="L13" s="59"/>
    </row>
    <row r="14" spans="1:12" ht="15">
      <c r="A14" s="59"/>
      <c r="B14" s="22" t="s">
        <v>342</v>
      </c>
      <c r="C14" s="33"/>
      <c r="D14" s="33"/>
      <c r="E14" s="147">
        <v>1E-4</v>
      </c>
      <c r="F14" s="60"/>
      <c r="G14" s="24"/>
      <c r="L14" s="59"/>
    </row>
    <row r="15" spans="1:12" ht="15">
      <c r="A15" s="59"/>
      <c r="B15" s="22" t="s">
        <v>36</v>
      </c>
      <c r="C15" s="33"/>
      <c r="D15" s="33"/>
      <c r="E15" s="23"/>
      <c r="F15" s="60">
        <f>ROUND(E13*E14,6)</f>
        <v>9.9999999999999995E-7</v>
      </c>
      <c r="G15" s="24"/>
      <c r="L15" s="59"/>
    </row>
    <row r="16" spans="1:12" ht="15">
      <c r="A16" s="59"/>
      <c r="B16" s="22"/>
      <c r="C16" s="33"/>
      <c r="D16" s="33"/>
      <c r="E16" s="33"/>
      <c r="F16" s="60"/>
      <c r="G16" s="24"/>
      <c r="L16" s="59"/>
    </row>
    <row r="17" spans="1:12" ht="15">
      <c r="A17" s="59"/>
      <c r="B17" s="255" t="s">
        <v>1019</v>
      </c>
      <c r="C17" s="255"/>
      <c r="D17" s="143"/>
      <c r="E17" s="147"/>
      <c r="F17" s="144"/>
      <c r="G17" s="24"/>
      <c r="L17" s="59"/>
    </row>
    <row r="18" spans="1:12" ht="15">
      <c r="A18" s="59"/>
      <c r="B18" s="22" t="s">
        <v>342</v>
      </c>
      <c r="C18" s="33"/>
      <c r="D18" s="143"/>
      <c r="E18" s="147"/>
      <c r="F18" s="144"/>
      <c r="G18" s="24"/>
      <c r="L18" s="59"/>
    </row>
    <row r="19" spans="1:12" ht="15">
      <c r="A19" s="59"/>
      <c r="B19" s="22" t="s">
        <v>36</v>
      </c>
      <c r="C19" s="33"/>
      <c r="D19" s="143"/>
      <c r="E19" s="23"/>
      <c r="F19" s="60">
        <f>ROUND(E17*E18,6)</f>
        <v>0</v>
      </c>
      <c r="G19" s="24"/>
      <c r="L19" s="59"/>
    </row>
    <row r="20" spans="1:12" ht="15">
      <c r="A20" s="59"/>
      <c r="B20" s="22"/>
      <c r="C20" s="33"/>
      <c r="D20" s="143"/>
      <c r="E20" s="33"/>
      <c r="F20" s="60"/>
      <c r="G20" s="24"/>
      <c r="L20" s="59"/>
    </row>
    <row r="21" spans="1:12" ht="15">
      <c r="A21" s="59"/>
      <c r="B21" s="255" t="s">
        <v>1019</v>
      </c>
      <c r="C21" s="255"/>
      <c r="D21" s="143"/>
      <c r="E21" s="147"/>
      <c r="F21" s="60"/>
      <c r="G21" s="24"/>
      <c r="L21" s="59"/>
    </row>
    <row r="22" spans="1:12" ht="15">
      <c r="A22" s="59"/>
      <c r="B22" s="22" t="s">
        <v>342</v>
      </c>
      <c r="C22" s="143"/>
      <c r="D22" s="143"/>
      <c r="E22" s="147"/>
      <c r="F22" s="60"/>
      <c r="G22" s="24"/>
      <c r="L22" s="59"/>
    </row>
    <row r="23" spans="1:12" ht="15">
      <c r="A23" s="59"/>
      <c r="B23" s="22" t="s">
        <v>36</v>
      </c>
      <c r="C23" s="143"/>
      <c r="D23" s="143"/>
      <c r="E23" s="145"/>
      <c r="F23" s="60">
        <f>ROUND(E21*E22,6)</f>
        <v>0</v>
      </c>
      <c r="G23" s="24"/>
      <c r="L23" s="59"/>
    </row>
    <row r="24" spans="1:12" ht="15">
      <c r="A24" s="59"/>
      <c r="B24" s="22"/>
      <c r="C24" s="33"/>
      <c r="D24" s="33"/>
      <c r="E24" s="23"/>
      <c r="F24" s="60"/>
      <c r="G24" s="24"/>
      <c r="L24" s="59"/>
    </row>
    <row r="25" spans="1:12" ht="15">
      <c r="A25" s="59"/>
      <c r="B25" s="255" t="s">
        <v>431</v>
      </c>
      <c r="C25" s="255"/>
      <c r="D25" s="143"/>
      <c r="E25" s="147"/>
      <c r="F25" s="60"/>
      <c r="G25" s="24"/>
      <c r="L25" s="59"/>
    </row>
    <row r="26" spans="1:12" ht="15">
      <c r="A26" s="59"/>
      <c r="B26" s="22" t="s">
        <v>342</v>
      </c>
      <c r="C26" s="143"/>
      <c r="D26" s="143"/>
      <c r="E26" s="147"/>
      <c r="F26" s="60"/>
      <c r="G26" s="24"/>
      <c r="L26" s="59"/>
    </row>
    <row r="27" spans="1:12" ht="15">
      <c r="A27" s="59"/>
      <c r="B27" s="22" t="s">
        <v>36</v>
      </c>
      <c r="C27" s="143"/>
      <c r="D27" s="143"/>
      <c r="E27" s="145"/>
      <c r="F27" s="60">
        <f>ROUND(E25*E26,6)</f>
        <v>0</v>
      </c>
      <c r="G27" s="24"/>
      <c r="L27" s="59"/>
    </row>
    <row r="28" spans="1:12" ht="15">
      <c r="A28" s="59"/>
      <c r="B28" s="22"/>
      <c r="C28" s="33"/>
      <c r="D28" s="33"/>
      <c r="E28" s="23"/>
      <c r="F28" s="60"/>
      <c r="G28" s="24"/>
      <c r="L28" s="59"/>
    </row>
    <row r="29" spans="1:12" ht="15.75" thickBot="1">
      <c r="A29" s="59"/>
      <c r="B29" s="23" t="s">
        <v>343</v>
      </c>
      <c r="C29" s="33"/>
      <c r="D29" s="33"/>
      <c r="E29" s="23"/>
      <c r="F29" s="61">
        <f>+ROUND(SUM(F10:F28),4)</f>
        <v>5.4899999999999997E-2</v>
      </c>
      <c r="G29" s="24"/>
      <c r="I29" s="134"/>
      <c r="L29" s="59"/>
    </row>
    <row r="30" spans="1:12" ht="13.5" thickTop="1">
      <c r="A30" s="59"/>
      <c r="G30" s="24"/>
      <c r="L30" s="59"/>
    </row>
    <row r="31" spans="1:12" ht="15">
      <c r="A31" s="59"/>
      <c r="B31" s="256" t="s">
        <v>903</v>
      </c>
      <c r="G31" s="24"/>
      <c r="L31" s="59"/>
    </row>
    <row r="32" spans="1:12" ht="15">
      <c r="A32" s="59"/>
      <c r="B32" s="23" t="s">
        <v>134</v>
      </c>
      <c r="G32" s="24"/>
      <c r="L32" s="59"/>
    </row>
    <row r="33" spans="1:18" ht="15">
      <c r="A33" s="59"/>
      <c r="B33" s="23"/>
      <c r="G33" s="24"/>
      <c r="L33" s="59"/>
    </row>
    <row r="34" spans="1:18" ht="18">
      <c r="A34" s="254" t="s">
        <v>313</v>
      </c>
      <c r="B34" s="44" t="s">
        <v>362</v>
      </c>
      <c r="C34" s="23"/>
      <c r="D34" s="23"/>
      <c r="E34" s="23"/>
      <c r="F34" s="23"/>
    </row>
    <row r="35" spans="1:18" ht="18">
      <c r="C35" s="44"/>
      <c r="I35" s="2504" t="s">
        <v>504</v>
      </c>
      <c r="J35" s="2504"/>
      <c r="K35" s="2504"/>
      <c r="L35" s="23"/>
    </row>
    <row r="36" spans="1:18" ht="15">
      <c r="I36" s="23"/>
      <c r="J36" s="23"/>
      <c r="K36" s="23"/>
      <c r="L36" s="23"/>
    </row>
    <row r="37" spans="1:18" ht="15">
      <c r="I37" s="71" t="s">
        <v>37</v>
      </c>
      <c r="J37" s="71"/>
      <c r="K37" s="71" t="s">
        <v>38</v>
      </c>
      <c r="L37" s="23"/>
    </row>
    <row r="38" spans="1:18" ht="15">
      <c r="A38" s="71" t="s">
        <v>155</v>
      </c>
      <c r="B38" s="6" t="str">
        <f>"REVENUE REQUIREMENT BEFORE TEXAS GROSS MARGIN TAX (TCOS ln "&amp;'PSO TCOS'!B191&amp;") "</f>
        <v xml:space="preserve">REVENUE REQUIREMENT BEFORE TEXAS GROSS MARGIN TAX (TCOS ln 116) </v>
      </c>
      <c r="I38" s="258">
        <f>+'PSO TCOS'!G188</f>
        <v>350676670.66093534</v>
      </c>
      <c r="J38" s="23"/>
      <c r="K38" s="258">
        <f>+'PSO TCOS'!L188</f>
        <v>83018102.281065762</v>
      </c>
      <c r="L38" s="23"/>
    </row>
    <row r="39" spans="1:18" ht="15">
      <c r="A39" s="23"/>
      <c r="B39" s="6"/>
      <c r="I39" s="23"/>
      <c r="J39" s="23"/>
      <c r="K39" s="23"/>
      <c r="L39" s="23"/>
    </row>
    <row r="40" spans="1:18" ht="15">
      <c r="A40" s="71">
        <v>1</v>
      </c>
      <c r="B40" s="6" t="str">
        <f>"Apportionment Factor to Texas (ln"&amp;A53&amp;")"</f>
        <v>Apportionment Factor to Texas (ln12)</v>
      </c>
      <c r="I40" s="135">
        <f>+$E53</f>
        <v>0</v>
      </c>
      <c r="J40" s="23"/>
      <c r="K40" s="135">
        <f>+$E53</f>
        <v>0</v>
      </c>
      <c r="L40" s="23"/>
      <c r="R40" s="622"/>
    </row>
    <row r="41" spans="1:18" ht="15">
      <c r="A41" s="71">
        <f t="shared" ref="A41:A46" si="0">+A40+1</f>
        <v>2</v>
      </c>
      <c r="B41" s="6" t="s">
        <v>39</v>
      </c>
      <c r="I41" s="64">
        <f>+I38*I40</f>
        <v>0</v>
      </c>
      <c r="J41" s="23"/>
      <c r="K41" s="64">
        <f>+K38*K40</f>
        <v>0</v>
      </c>
      <c r="L41" s="23"/>
      <c r="R41" s="622"/>
    </row>
    <row r="42" spans="1:18" ht="15">
      <c r="A42" s="71">
        <f t="shared" si="0"/>
        <v>3</v>
      </c>
      <c r="B42" s="6" t="s">
        <v>904</v>
      </c>
      <c r="I42" s="261">
        <v>0.22</v>
      </c>
      <c r="J42" s="23"/>
      <c r="K42" s="260">
        <f>+I42</f>
        <v>0.22</v>
      </c>
      <c r="L42" s="23"/>
      <c r="R42" s="622"/>
    </row>
    <row r="43" spans="1:18" ht="15">
      <c r="A43" s="71">
        <f t="shared" si="0"/>
        <v>4</v>
      </c>
      <c r="B43" s="6" t="s">
        <v>40</v>
      </c>
      <c r="I43" s="103">
        <f>+I41*I42</f>
        <v>0</v>
      </c>
      <c r="J43" s="23"/>
      <c r="K43" s="103">
        <f>+K41*K42</f>
        <v>0</v>
      </c>
      <c r="L43" s="23"/>
      <c r="R43" s="623"/>
    </row>
    <row r="44" spans="1:18" ht="15">
      <c r="A44" s="71">
        <f t="shared" si="0"/>
        <v>5</v>
      </c>
      <c r="B44" s="6" t="s">
        <v>905</v>
      </c>
      <c r="I44" s="260">
        <v>0.01</v>
      </c>
      <c r="J44" s="23"/>
      <c r="K44" s="260">
        <f>+I44</f>
        <v>0.01</v>
      </c>
      <c r="L44" s="23"/>
      <c r="R44" s="623"/>
    </row>
    <row r="45" spans="1:18" ht="15">
      <c r="A45" s="71">
        <f t="shared" si="0"/>
        <v>6</v>
      </c>
      <c r="B45" s="6" t="s">
        <v>41</v>
      </c>
      <c r="I45" s="21">
        <f>+I43*I44</f>
        <v>0</v>
      </c>
      <c r="J45" s="23"/>
      <c r="K45" s="21">
        <f>+K43*K44</f>
        <v>0</v>
      </c>
      <c r="L45" s="23"/>
      <c r="R45" s="623"/>
    </row>
    <row r="46" spans="1:18" ht="15">
      <c r="A46" s="71">
        <f t="shared" si="0"/>
        <v>7</v>
      </c>
      <c r="B46" s="7" t="s">
        <v>42</v>
      </c>
      <c r="I46" s="39">
        <f>+ROUND((I45*I42*I40)/(1-I44)*I44,0)</f>
        <v>0</v>
      </c>
      <c r="J46" s="23"/>
      <c r="K46" s="39">
        <f>+ROUND((K45*K42*K40)/(1-K44)*K44,0)</f>
        <v>0</v>
      </c>
      <c r="L46" s="23"/>
      <c r="R46" s="623"/>
    </row>
    <row r="47" spans="1:18" ht="15">
      <c r="A47" s="71"/>
      <c r="B47" s="7"/>
      <c r="D47" s="257" t="str">
        <f>"   ((ln "&amp;A45&amp;" * ln "&amp;A42&amp;" * ln "&amp;A40&amp;")/(1- ln "&amp;A44&amp;") * ln "&amp;A44&amp;")"</f>
        <v xml:space="preserve">   ((ln 6 * ln 3 * ln 1)/(1- ln 5) * ln 5)</v>
      </c>
      <c r="I47" s="39"/>
      <c r="J47" s="23"/>
      <c r="K47" s="39"/>
      <c r="L47" s="23"/>
      <c r="R47" s="623"/>
    </row>
    <row r="48" spans="1:18" ht="15">
      <c r="A48" s="71">
        <f>+A46+1</f>
        <v>8</v>
      </c>
      <c r="B48" s="7" t="s">
        <v>31</v>
      </c>
      <c r="I48" s="136">
        <f>+I45+I46</f>
        <v>0</v>
      </c>
      <c r="J48" s="23"/>
      <c r="K48" s="136">
        <f>+K45+K46</f>
        <v>0</v>
      </c>
      <c r="L48" s="23"/>
      <c r="R48" s="623"/>
    </row>
    <row r="49" spans="1:18" ht="15">
      <c r="A49" s="71"/>
      <c r="I49" s="23"/>
      <c r="J49" s="23"/>
      <c r="K49" s="23"/>
      <c r="L49" s="23"/>
      <c r="R49" s="623"/>
    </row>
    <row r="50" spans="1:18" ht="15">
      <c r="A50" s="71">
        <f>+A48+1</f>
        <v>9</v>
      </c>
      <c r="B50" s="8" t="s">
        <v>43</v>
      </c>
      <c r="C50" s="20"/>
      <c r="D50" s="5"/>
      <c r="E50" s="3"/>
      <c r="R50" s="623"/>
    </row>
    <row r="51" spans="1:18" ht="15">
      <c r="A51" s="71">
        <f>+A50+1</f>
        <v>10</v>
      </c>
      <c r="B51" s="8" t="s">
        <v>44</v>
      </c>
      <c r="C51" s="20"/>
      <c r="D51" s="5"/>
      <c r="E51" s="259">
        <v>0</v>
      </c>
      <c r="F51" s="15" t="s">
        <v>1</v>
      </c>
      <c r="G51" s="75"/>
      <c r="R51" s="623"/>
    </row>
    <row r="52" spans="1:18" ht="15">
      <c r="A52" s="71">
        <f>+A51+1</f>
        <v>11</v>
      </c>
      <c r="B52" s="8" t="s">
        <v>45</v>
      </c>
      <c r="C52" s="20"/>
      <c r="D52" s="5"/>
      <c r="E52" s="259">
        <v>0</v>
      </c>
      <c r="F52" s="15" t="s">
        <v>1</v>
      </c>
      <c r="R52" s="622"/>
    </row>
    <row r="53" spans="1:18" ht="15">
      <c r="A53" s="71">
        <f>+A52+1</f>
        <v>12</v>
      </c>
      <c r="B53" s="8" t="s">
        <v>46</v>
      </c>
      <c r="C53" s="20" t="str">
        <f>"(ln "&amp;A51&amp;" / ln "&amp;A52&amp;")"</f>
        <v>(ln 10 / ln 11)</v>
      </c>
      <c r="D53" s="5"/>
      <c r="E53" s="6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C181"/>
  <sheetViews>
    <sheetView showGridLines="0" topLeftCell="A21" zoomScale="70" zoomScaleNormal="70" zoomScaleSheetLayoutView="75" zoomScalePageLayoutView="90" workbookViewId="0">
      <selection activeCell="K46" sqref="K46"/>
    </sheetView>
  </sheetViews>
  <sheetFormatPr defaultColWidth="9.140625" defaultRowHeight="12.75"/>
  <cols>
    <col min="1" max="1" width="7.28515625" style="131" customWidth="1"/>
    <col min="2" max="2" width="1.7109375" style="108" customWidth="1"/>
    <col min="3" max="3" width="77" style="108" customWidth="1"/>
    <col min="4" max="4" width="1.7109375" style="108" customWidth="1"/>
    <col min="5" max="5" width="20.42578125" style="132" customWidth="1"/>
    <col min="6" max="6" width="1.7109375" style="106" customWidth="1"/>
    <col min="7" max="7" width="20" style="106" bestFit="1" customWidth="1"/>
    <col min="8" max="8" width="1.7109375" style="106" customWidth="1"/>
    <col min="9" max="9" width="21.42578125" style="106" customWidth="1"/>
    <col min="10" max="10" width="1.7109375" style="106" customWidth="1"/>
    <col min="11" max="11" width="17.7109375" style="106" bestFit="1" customWidth="1"/>
    <col min="12" max="12" width="3.42578125" style="106" customWidth="1"/>
    <col min="13" max="13" width="21.28515625" style="106" bestFit="1" customWidth="1"/>
    <col min="14" max="14" width="1.7109375" style="106" hidden="1" customWidth="1"/>
    <col min="15" max="15" width="22.140625" style="106" customWidth="1"/>
    <col min="16" max="20" width="9.140625" style="106"/>
    <col min="21" max="21" width="13" style="106" customWidth="1"/>
    <col min="22" max="16384" width="9.140625" style="106"/>
  </cols>
  <sheetData>
    <row r="1" spans="1:29" ht="15">
      <c r="A1" s="287"/>
    </row>
    <row r="2" spans="1:29" ht="18.75" customHeight="1">
      <c r="A2" s="2501" t="str">
        <f>+'PSO TCOS'!F4</f>
        <v xml:space="preserve">AEP West SPP Member Operating Companies </v>
      </c>
      <c r="B2" s="2501"/>
      <c r="C2" s="2501"/>
      <c r="D2" s="2501"/>
      <c r="E2" s="2501"/>
      <c r="F2" s="2501"/>
      <c r="G2" s="2501"/>
      <c r="H2" s="2501"/>
      <c r="I2" s="2501"/>
      <c r="J2" s="2501"/>
      <c r="K2" s="2501"/>
      <c r="L2" s="2501"/>
      <c r="M2" s="2501"/>
    </row>
    <row r="3" spans="1:29" ht="18.75" customHeight="1">
      <c r="A3" s="2505" t="str">
        <f>+'PSO WS A-1 - Plant'!A3</f>
        <v xml:space="preserve">Actual / Projected 2018 Rate Year Cost of Service Formula Rate </v>
      </c>
      <c r="B3" s="2505"/>
      <c r="C3" s="2505"/>
      <c r="D3" s="2505"/>
      <c r="E3" s="2505"/>
      <c r="F3" s="2505"/>
      <c r="G3" s="2505"/>
      <c r="H3" s="2505"/>
      <c r="I3" s="2505"/>
      <c r="J3" s="2505"/>
      <c r="K3" s="2505"/>
      <c r="L3" s="2505"/>
      <c r="M3" s="2505"/>
    </row>
    <row r="4" spans="1:29" ht="18.75" customHeight="1">
      <c r="A4" s="2506" t="s">
        <v>116</v>
      </c>
      <c r="B4" s="2505"/>
      <c r="C4" s="2505"/>
      <c r="D4" s="2505"/>
      <c r="E4" s="2505"/>
      <c r="F4" s="2505"/>
      <c r="G4" s="2505"/>
      <c r="H4" s="2505"/>
      <c r="I4" s="2505"/>
      <c r="J4" s="2505"/>
      <c r="K4" s="2505"/>
      <c r="L4" s="2505"/>
      <c r="M4" s="2505"/>
    </row>
    <row r="5" spans="1:29" ht="18" customHeight="1">
      <c r="A5" s="2509" t="str">
        <f>+'PSO TCOS'!F8</f>
        <v>PUBLIC SERVICE COMPANY OF OKLAHOMA</v>
      </c>
      <c r="B5" s="2509"/>
      <c r="C5" s="2509"/>
      <c r="D5" s="2509"/>
      <c r="E5" s="2509"/>
      <c r="F5" s="2509"/>
      <c r="G5" s="2509"/>
      <c r="H5" s="2509"/>
      <c r="I5" s="2509"/>
      <c r="J5" s="2509"/>
      <c r="K5" s="2509"/>
      <c r="L5" s="2509"/>
      <c r="M5" s="2509"/>
    </row>
    <row r="6" spans="1:29" ht="18" customHeight="1">
      <c r="A6" s="2508"/>
      <c r="B6" s="2508"/>
      <c r="C6" s="2508"/>
      <c r="D6" s="2508"/>
      <c r="E6" s="2508"/>
      <c r="F6" s="2508"/>
      <c r="G6" s="2508"/>
      <c r="H6" s="2508"/>
      <c r="I6" s="2508"/>
      <c r="J6" s="2508"/>
      <c r="K6" s="2508"/>
      <c r="L6" s="2508"/>
      <c r="M6" s="2508"/>
    </row>
    <row r="7" spans="1:29" ht="18" customHeight="1">
      <c r="A7" s="2507"/>
      <c r="B7" s="2507"/>
      <c r="C7" s="2507"/>
      <c r="D7" s="2507"/>
      <c r="E7" s="2507"/>
      <c r="F7" s="2507"/>
      <c r="G7" s="2507"/>
      <c r="H7" s="2507"/>
      <c r="I7" s="2507"/>
      <c r="J7" s="2507"/>
      <c r="K7" s="2507"/>
      <c r="L7" s="2507"/>
      <c r="M7" s="2507"/>
    </row>
    <row r="8" spans="1:29" ht="18" customHeight="1">
      <c r="A8" s="105"/>
      <c r="B8" s="105"/>
      <c r="C8" s="105"/>
      <c r="D8" s="105"/>
      <c r="E8" s="105"/>
      <c r="F8" s="105"/>
      <c r="G8" s="105"/>
      <c r="H8" s="105"/>
      <c r="I8" s="105"/>
      <c r="J8" s="105"/>
      <c r="K8" s="105"/>
      <c r="L8" s="105"/>
      <c r="M8" s="105"/>
    </row>
    <row r="9" spans="1:29" ht="19.5" customHeight="1">
      <c r="A9" s="107"/>
      <c r="B9" s="55"/>
      <c r="C9" s="32" t="s">
        <v>303</v>
      </c>
      <c r="E9" s="32" t="s">
        <v>304</v>
      </c>
      <c r="G9" s="32" t="s">
        <v>305</v>
      </c>
      <c r="I9" s="32" t="s">
        <v>306</v>
      </c>
      <c r="K9" s="32" t="s">
        <v>231</v>
      </c>
      <c r="M9" s="32" t="s">
        <v>232</v>
      </c>
    </row>
    <row r="10" spans="1:29" ht="18">
      <c r="A10" s="109"/>
      <c r="B10" s="110"/>
      <c r="C10" s="110"/>
      <c r="D10" s="110"/>
      <c r="E10" s="15"/>
      <c r="F10" s="15"/>
      <c r="G10" s="15"/>
      <c r="H10" s="15"/>
      <c r="I10" s="15"/>
      <c r="J10" s="15"/>
      <c r="K10" s="15"/>
      <c r="L10" s="15"/>
      <c r="M10" s="15"/>
      <c r="Q10" s="71"/>
      <c r="R10" s="71"/>
      <c r="S10" s="71"/>
      <c r="T10" s="71"/>
      <c r="U10" s="71"/>
      <c r="V10" s="71"/>
      <c r="W10" s="71"/>
      <c r="X10" s="71"/>
      <c r="Y10" s="71"/>
      <c r="Z10" s="71"/>
      <c r="AA10" s="71"/>
      <c r="AB10" s="71"/>
      <c r="AC10" s="71"/>
    </row>
    <row r="11" spans="1:29" ht="19.5">
      <c r="A11" s="109" t="s">
        <v>310</v>
      </c>
      <c r="B11" s="110"/>
      <c r="C11" s="110"/>
      <c r="D11" s="110"/>
      <c r="E11" s="111" t="s">
        <v>260</v>
      </c>
      <c r="F11" s="109"/>
      <c r="G11" s="109"/>
      <c r="H11" s="109"/>
      <c r="I11" s="109"/>
      <c r="J11" s="109"/>
      <c r="K11" s="112"/>
      <c r="L11" s="112"/>
      <c r="M11" s="113"/>
    </row>
    <row r="12" spans="1:29" ht="19.5">
      <c r="A12" s="114" t="s">
        <v>259</v>
      </c>
      <c r="B12" s="110"/>
      <c r="C12" s="114" t="s">
        <v>392</v>
      </c>
      <c r="D12" s="110"/>
      <c r="E12" s="115" t="s">
        <v>322</v>
      </c>
      <c r="F12" s="109"/>
      <c r="G12" s="114" t="s">
        <v>393</v>
      </c>
      <c r="H12" s="109"/>
      <c r="I12" s="114" t="s">
        <v>302</v>
      </c>
      <c r="J12" s="109"/>
      <c r="K12" s="116" t="s">
        <v>320</v>
      </c>
      <c r="L12" s="117"/>
      <c r="M12" s="116" t="s">
        <v>394</v>
      </c>
    </row>
    <row r="13" spans="1:29" ht="19.5">
      <c r="A13" s="118"/>
      <c r="B13" s="55"/>
      <c r="C13" s="119"/>
      <c r="D13" s="119"/>
      <c r="E13" s="119"/>
      <c r="F13" s="119"/>
      <c r="G13" s="119"/>
      <c r="H13" s="119"/>
      <c r="I13" s="119"/>
      <c r="J13" s="119"/>
      <c r="K13" s="46"/>
      <c r="L13" s="46"/>
    </row>
    <row r="14" spans="1:29" ht="19.5">
      <c r="A14" s="107"/>
      <c r="B14" s="55"/>
      <c r="C14" s="244"/>
      <c r="D14" s="55"/>
      <c r="E14" s="120"/>
      <c r="F14" s="121"/>
      <c r="G14" s="121"/>
      <c r="H14" s="121"/>
      <c r="I14" s="120"/>
      <c r="J14" s="121"/>
      <c r="K14" s="46"/>
      <c r="L14" s="46"/>
    </row>
    <row r="15" spans="1:29" ht="19.5">
      <c r="A15" s="107">
        <v>1</v>
      </c>
      <c r="B15" s="55"/>
      <c r="C15" s="122" t="s">
        <v>397</v>
      </c>
      <c r="D15" s="55"/>
      <c r="E15" s="46"/>
      <c r="F15" s="46"/>
      <c r="G15" s="123"/>
      <c r="H15" s="123"/>
      <c r="I15" s="123"/>
      <c r="J15" s="123"/>
      <c r="K15" s="123"/>
      <c r="L15" s="123"/>
      <c r="M15" s="123"/>
    </row>
    <row r="16" spans="1:29" ht="19.5">
      <c r="A16" s="107">
        <f>+A15+1</f>
        <v>2</v>
      </c>
      <c r="B16" s="55"/>
      <c r="C16" s="236" t="s">
        <v>1501</v>
      </c>
      <c r="D16" s="55"/>
      <c r="E16" s="236">
        <f>3+1</f>
        <v>4</v>
      </c>
      <c r="F16" s="46"/>
      <c r="G16" s="236"/>
      <c r="H16" s="236"/>
      <c r="I16" s="236"/>
      <c r="J16" s="236"/>
      <c r="K16" s="236"/>
      <c r="L16" s="236"/>
      <c r="M16" s="236">
        <f>+E16</f>
        <v>4</v>
      </c>
    </row>
    <row r="17" spans="1:25" ht="19.5">
      <c r="A17" s="107"/>
      <c r="B17" s="55"/>
      <c r="C17" s="112"/>
      <c r="D17" s="55"/>
      <c r="E17" s="124"/>
      <c r="F17" s="46"/>
      <c r="G17" s="124"/>
      <c r="H17" s="124"/>
      <c r="I17" s="124"/>
      <c r="J17" s="124"/>
      <c r="K17" s="124"/>
      <c r="L17" s="124"/>
      <c r="M17" s="124"/>
      <c r="O17" s="235"/>
    </row>
    <row r="18" spans="1:25" ht="19.5">
      <c r="A18" s="107">
        <f>16+1</f>
        <v>17</v>
      </c>
      <c r="B18" s="55"/>
      <c r="C18" s="122" t="s">
        <v>398</v>
      </c>
      <c r="D18" s="55"/>
      <c r="E18" s="605"/>
      <c r="F18" s="604"/>
      <c r="G18" s="605"/>
      <c r="H18" s="605"/>
      <c r="I18" s="605"/>
      <c r="J18" s="605"/>
      <c r="K18" s="605"/>
      <c r="L18" s="605"/>
      <c r="M18" s="605"/>
      <c r="O18"/>
    </row>
    <row r="19" spans="1:25" ht="18">
      <c r="A19" s="107">
        <f>+A18+1</f>
        <v>18</v>
      </c>
      <c r="B19" s="55"/>
      <c r="C19" s="236" t="s">
        <v>1469</v>
      </c>
      <c r="D19" s="55"/>
      <c r="E19" s="236">
        <f>646+36273804</f>
        <v>36274450</v>
      </c>
      <c r="F19" s="121"/>
      <c r="G19" s="236">
        <f>+E19</f>
        <v>36274450</v>
      </c>
      <c r="H19" s="236"/>
      <c r="I19" s="236"/>
      <c r="J19" s="236"/>
      <c r="K19" s="236"/>
      <c r="L19" s="236"/>
      <c r="M19" s="236"/>
      <c r="O19"/>
      <c r="P19" s="15"/>
      <c r="Q19" s="15"/>
      <c r="R19" s="15"/>
      <c r="S19" s="15"/>
      <c r="T19" s="15"/>
      <c r="U19" s="15"/>
      <c r="V19" s="15"/>
      <c r="W19" s="15"/>
      <c r="X19" s="15"/>
      <c r="Y19" s="15"/>
    </row>
    <row r="20" spans="1:25" ht="19.5">
      <c r="A20" s="107">
        <f>+A19+1</f>
        <v>19</v>
      </c>
      <c r="B20" s="55"/>
      <c r="C20" s="236" t="s">
        <v>1472</v>
      </c>
      <c r="D20" s="55"/>
      <c r="E20" s="236">
        <f>1303814-435</f>
        <v>1303379</v>
      </c>
      <c r="F20" s="46"/>
      <c r="G20" s="236">
        <f>+E20</f>
        <v>1303379</v>
      </c>
      <c r="H20" s="236"/>
      <c r="I20" s="236"/>
      <c r="J20" s="236"/>
      <c r="K20" s="236"/>
      <c r="L20" s="236"/>
      <c r="M20" s="236"/>
      <c r="O20"/>
      <c r="P20" s="15"/>
      <c r="Q20" s="15"/>
      <c r="R20" s="15"/>
      <c r="S20" s="15"/>
      <c r="T20" s="15"/>
      <c r="U20" s="15"/>
      <c r="V20" s="15"/>
      <c r="W20" s="15"/>
      <c r="X20" s="15"/>
      <c r="Y20" s="15"/>
    </row>
    <row r="21" spans="1:25" ht="18">
      <c r="A21" s="107">
        <f>+A20+1</f>
        <v>20</v>
      </c>
      <c r="B21" s="55"/>
      <c r="C21" s="606" t="s">
        <v>1471</v>
      </c>
      <c r="D21" s="55"/>
      <c r="E21" s="283">
        <v>0</v>
      </c>
      <c r="F21" s="121"/>
      <c r="G21" s="236">
        <f>+E21</f>
        <v>0</v>
      </c>
      <c r="H21" s="236"/>
      <c r="I21" s="236"/>
      <c r="J21" s="236"/>
      <c r="K21" s="236"/>
      <c r="L21" s="236"/>
      <c r="M21" s="283"/>
      <c r="O21"/>
      <c r="P21" s="15"/>
      <c r="Q21" s="15"/>
      <c r="R21" s="15"/>
      <c r="S21" s="15"/>
      <c r="T21" s="15"/>
      <c r="U21" s="15"/>
      <c r="V21" s="15"/>
      <c r="W21" s="15"/>
      <c r="X21" s="15"/>
      <c r="Y21" s="15"/>
    </row>
    <row r="22" spans="1:25" ht="19.5">
      <c r="A22" s="107"/>
      <c r="B22" s="55"/>
      <c r="C22" s="112"/>
      <c r="D22" s="55"/>
      <c r="E22" s="124"/>
      <c r="F22" s="46"/>
      <c r="G22" s="124"/>
      <c r="H22" s="124"/>
      <c r="I22" s="124"/>
      <c r="J22" s="124"/>
      <c r="K22" s="124"/>
      <c r="L22" s="124"/>
      <c r="M22" s="124"/>
      <c r="O22"/>
      <c r="P22" s="15"/>
      <c r="Q22" s="15"/>
      <c r="R22" s="15"/>
      <c r="S22" s="15"/>
      <c r="T22" s="15"/>
      <c r="U22" s="15"/>
      <c r="V22" s="15"/>
      <c r="W22" s="15"/>
      <c r="X22" s="15"/>
      <c r="Y22" s="15"/>
    </row>
    <row r="23" spans="1:25" ht="19.5">
      <c r="A23" s="107">
        <f>21+1</f>
        <v>22</v>
      </c>
      <c r="B23" s="55"/>
      <c r="C23" s="122" t="s">
        <v>399</v>
      </c>
      <c r="D23" s="55"/>
      <c r="E23" s="124"/>
      <c r="F23" s="46"/>
      <c r="G23" s="124"/>
      <c r="H23" s="124"/>
      <c r="I23" s="124"/>
      <c r="J23" s="124"/>
      <c r="K23" s="124"/>
      <c r="L23" s="124"/>
      <c r="M23" s="124"/>
      <c r="O23" s="15"/>
      <c r="P23" s="15"/>
      <c r="Q23" s="15"/>
      <c r="R23" s="15"/>
      <c r="S23" s="15"/>
      <c r="T23" s="15"/>
      <c r="U23" s="15"/>
      <c r="V23" s="15"/>
      <c r="W23" s="15"/>
      <c r="X23" s="15"/>
      <c r="Y23" s="15"/>
    </row>
    <row r="24" spans="1:25" ht="19.5">
      <c r="A24" s="107">
        <f>+A23+1</f>
        <v>23</v>
      </c>
      <c r="B24" s="55"/>
      <c r="C24" s="236" t="s">
        <v>1473</v>
      </c>
      <c r="D24" s="55"/>
      <c r="E24" s="236">
        <v>4956382</v>
      </c>
      <c r="F24" s="46"/>
      <c r="G24" s="236"/>
      <c r="H24" s="236"/>
      <c r="I24" s="236">
        <f>+E24</f>
        <v>4956382</v>
      </c>
      <c r="J24" s="236"/>
      <c r="K24" s="236"/>
      <c r="L24" s="236"/>
      <c r="M24" s="236"/>
      <c r="O24" s="15"/>
      <c r="P24" s="15"/>
      <c r="Q24" s="15"/>
      <c r="R24" s="15"/>
      <c r="S24" s="15"/>
      <c r="T24" s="15"/>
      <c r="U24" s="15"/>
      <c r="V24" s="15"/>
      <c r="W24" s="15"/>
      <c r="X24" s="15"/>
      <c r="Y24" s="15"/>
    </row>
    <row r="25" spans="1:25" ht="19.5">
      <c r="A25" s="107">
        <f>+A24+1</f>
        <v>24</v>
      </c>
      <c r="B25" s="55"/>
      <c r="C25" s="236" t="s">
        <v>1474</v>
      </c>
      <c r="D25" s="55"/>
      <c r="E25" s="236">
        <v>30843</v>
      </c>
      <c r="F25" s="46"/>
      <c r="G25" s="236"/>
      <c r="H25" s="236"/>
      <c r="I25" s="236">
        <f>+E25</f>
        <v>30843</v>
      </c>
      <c r="J25" s="236"/>
      <c r="K25" s="236"/>
      <c r="L25" s="236"/>
      <c r="M25" s="236"/>
      <c r="O25" s="15"/>
      <c r="P25" s="15"/>
      <c r="Q25" s="15"/>
      <c r="R25" s="15"/>
      <c r="S25" s="15"/>
      <c r="T25" s="15"/>
      <c r="U25" s="15"/>
      <c r="V25" s="15"/>
      <c r="W25" s="15"/>
      <c r="X25" s="15"/>
      <c r="Y25" s="15"/>
    </row>
    <row r="26" spans="1:25" ht="19.5">
      <c r="A26" s="107">
        <f>+A25+1</f>
        <v>25</v>
      </c>
      <c r="B26" s="55"/>
      <c r="C26" s="236" t="s">
        <v>1475</v>
      </c>
      <c r="D26" s="55"/>
      <c r="E26" s="236">
        <v>61657</v>
      </c>
      <c r="F26" s="46"/>
      <c r="G26" s="236"/>
      <c r="H26" s="236"/>
      <c r="I26" s="236">
        <f>+E26</f>
        <v>61657</v>
      </c>
      <c r="J26" s="236"/>
      <c r="K26" s="236"/>
      <c r="L26" s="236"/>
      <c r="M26" s="236"/>
      <c r="O26" s="15"/>
      <c r="P26" s="15"/>
      <c r="Q26" s="15"/>
      <c r="R26" s="15"/>
      <c r="S26" s="15"/>
      <c r="T26" s="15"/>
      <c r="U26" s="15"/>
      <c r="V26" s="15"/>
      <c r="W26" s="15"/>
      <c r="X26" s="15"/>
      <c r="Y26" s="15"/>
    </row>
    <row r="27" spans="1:25" ht="19.5">
      <c r="A27" s="107" t="s">
        <v>256</v>
      </c>
      <c r="B27" s="55"/>
      <c r="C27" s="46"/>
      <c r="D27" s="55"/>
      <c r="E27" s="124"/>
      <c r="F27" s="46"/>
      <c r="G27" s="124"/>
      <c r="H27" s="124"/>
      <c r="I27" s="124"/>
      <c r="J27" s="124"/>
      <c r="K27" s="124"/>
      <c r="L27" s="124"/>
      <c r="M27" s="124"/>
      <c r="O27" s="15"/>
      <c r="P27" s="15"/>
      <c r="Q27" s="15"/>
      <c r="R27" s="15"/>
      <c r="S27" s="15"/>
      <c r="T27" s="15"/>
      <c r="U27" s="15"/>
      <c r="V27" s="15"/>
      <c r="W27" s="15"/>
      <c r="X27" s="15"/>
      <c r="Y27" s="15"/>
    </row>
    <row r="28" spans="1:25" ht="19.5">
      <c r="A28" s="107">
        <f>26+1</f>
        <v>27</v>
      </c>
      <c r="B28" s="55"/>
      <c r="C28" s="122" t="s">
        <v>62</v>
      </c>
      <c r="D28" s="55"/>
      <c r="E28" s="124"/>
      <c r="F28" s="46"/>
      <c r="G28" s="124"/>
      <c r="H28" s="124"/>
      <c r="I28" s="124"/>
      <c r="J28" s="124"/>
      <c r="K28" s="124"/>
      <c r="L28" s="124"/>
      <c r="M28" s="124"/>
      <c r="O28" s="15"/>
      <c r="P28" s="15"/>
      <c r="Q28" s="15"/>
      <c r="R28" s="15"/>
      <c r="S28" s="15"/>
      <c r="T28" s="15"/>
      <c r="U28" s="15"/>
      <c r="V28" s="15"/>
      <c r="W28" s="15"/>
      <c r="X28" s="15"/>
      <c r="Y28" s="15"/>
    </row>
    <row r="29" spans="1:25" ht="19.5">
      <c r="A29" s="107">
        <f>A28+1</f>
        <v>28</v>
      </c>
      <c r="B29" s="55"/>
      <c r="C29" s="148"/>
      <c r="D29" s="55"/>
      <c r="E29" s="236"/>
      <c r="F29" s="46"/>
      <c r="G29" s="236"/>
      <c r="H29" s="236"/>
      <c r="I29" s="236"/>
      <c r="J29" s="236"/>
      <c r="K29" s="236"/>
      <c r="L29" s="236"/>
      <c r="M29" s="236">
        <f>+E29</f>
        <v>0</v>
      </c>
      <c r="O29" s="15"/>
      <c r="P29" s="15"/>
      <c r="Q29" s="15"/>
      <c r="R29" s="15"/>
      <c r="S29" s="15"/>
      <c r="T29" s="15"/>
      <c r="U29" s="15"/>
      <c r="V29" s="15"/>
      <c r="W29" s="15"/>
      <c r="X29" s="15"/>
      <c r="Y29" s="15"/>
    </row>
    <row r="30" spans="1:25" ht="19.5">
      <c r="A30" s="107">
        <f>A29+1</f>
        <v>29</v>
      </c>
      <c r="B30" s="55"/>
      <c r="C30" s="148"/>
      <c r="D30" s="55"/>
      <c r="E30" s="236"/>
      <c r="F30" s="46"/>
      <c r="G30" s="236"/>
      <c r="H30" s="236"/>
      <c r="I30" s="236"/>
      <c r="J30" s="236"/>
      <c r="K30" s="236"/>
      <c r="L30" s="236"/>
      <c r="M30" s="236"/>
      <c r="O30" s="15"/>
      <c r="P30" s="15"/>
      <c r="Q30" s="15"/>
      <c r="R30" s="15"/>
      <c r="S30" s="15"/>
      <c r="T30" s="15"/>
      <c r="U30" s="15"/>
      <c r="V30" s="15"/>
      <c r="W30" s="15"/>
      <c r="X30" s="15"/>
      <c r="Y30" s="15"/>
    </row>
    <row r="31" spans="1:25" ht="19.5">
      <c r="A31" s="107"/>
      <c r="B31" s="55"/>
      <c r="C31" s="46"/>
      <c r="D31" s="55"/>
      <c r="E31" s="124"/>
      <c r="F31" s="46"/>
      <c r="G31" s="124"/>
      <c r="H31" s="124"/>
      <c r="I31" s="124"/>
      <c r="J31" s="124"/>
      <c r="K31" s="124"/>
      <c r="L31" s="124"/>
      <c r="M31" s="124"/>
      <c r="O31" s="15"/>
      <c r="P31" s="15"/>
      <c r="Q31" s="15"/>
      <c r="R31" s="15"/>
      <c r="S31" s="15"/>
      <c r="T31" s="15"/>
      <c r="U31" s="15"/>
      <c r="V31" s="15"/>
      <c r="W31" s="15"/>
      <c r="X31" s="15"/>
      <c r="Y31" s="15"/>
    </row>
    <row r="32" spans="1:25" ht="19.5">
      <c r="A32" s="82">
        <f>30+1</f>
        <v>31</v>
      </c>
      <c r="B32" s="83"/>
      <c r="C32" s="122" t="s">
        <v>396</v>
      </c>
      <c r="D32" s="84"/>
      <c r="E32" s="124"/>
      <c r="F32" s="46"/>
      <c r="G32" s="124"/>
      <c r="H32" s="124"/>
      <c r="I32" s="124"/>
      <c r="J32" s="124"/>
      <c r="K32" s="124"/>
      <c r="L32" s="124"/>
      <c r="M32" s="124"/>
    </row>
    <row r="33" spans="1:15" ht="19.5">
      <c r="A33" s="82">
        <f t="shared" ref="A33:A42" si="0">A32+1</f>
        <v>32</v>
      </c>
      <c r="B33" s="83"/>
      <c r="C33" s="278" t="s">
        <v>1476</v>
      </c>
      <c r="D33" s="55"/>
      <c r="E33" s="236">
        <f>141+1535</f>
        <v>1676</v>
      </c>
      <c r="F33" s="46"/>
      <c r="G33" s="236"/>
      <c r="H33" s="236"/>
      <c r="I33" s="236"/>
      <c r="J33" s="236"/>
      <c r="K33" s="236"/>
      <c r="L33" s="236"/>
      <c r="M33" s="236">
        <f>+E33</f>
        <v>1676</v>
      </c>
    </row>
    <row r="34" spans="1:15" ht="19.5">
      <c r="A34" s="82">
        <f t="shared" si="0"/>
        <v>33</v>
      </c>
      <c r="B34" s="83"/>
      <c r="C34" s="278" t="s">
        <v>1480</v>
      </c>
      <c r="D34" s="55"/>
      <c r="E34" s="236">
        <v>20000</v>
      </c>
      <c r="F34" s="46"/>
      <c r="G34" s="236"/>
      <c r="H34" s="236"/>
      <c r="I34" s="236"/>
      <c r="J34" s="236"/>
      <c r="K34" s="236">
        <f>+E34</f>
        <v>20000</v>
      </c>
      <c r="L34" s="236"/>
      <c r="M34" s="236"/>
      <c r="O34"/>
    </row>
    <row r="35" spans="1:15" ht="19.5">
      <c r="A35" s="82">
        <f t="shared" si="0"/>
        <v>34</v>
      </c>
      <c r="B35" s="83"/>
      <c r="C35" s="278" t="s">
        <v>1502</v>
      </c>
      <c r="D35" s="55"/>
      <c r="E35" s="236">
        <f>196+8791</f>
        <v>8987</v>
      </c>
      <c r="F35" s="46"/>
      <c r="G35" s="236"/>
      <c r="H35" s="236"/>
      <c r="I35" s="236"/>
      <c r="J35" s="236"/>
      <c r="K35" s="236"/>
      <c r="L35" s="236"/>
      <c r="M35" s="236">
        <f>+E35</f>
        <v>8987</v>
      </c>
      <c r="O35"/>
    </row>
    <row r="36" spans="1:15" ht="19.5">
      <c r="A36" s="82">
        <f t="shared" si="0"/>
        <v>35</v>
      </c>
      <c r="B36" s="83"/>
      <c r="C36" s="278" t="s">
        <v>1503</v>
      </c>
      <c r="D36" s="55"/>
      <c r="E36" s="236">
        <v>204500</v>
      </c>
      <c r="F36" s="46"/>
      <c r="G36" s="236"/>
      <c r="H36" s="236"/>
      <c r="I36" s="236"/>
      <c r="J36" s="236"/>
      <c r="K36" s="236"/>
      <c r="L36" s="236"/>
      <c r="M36" s="236">
        <f>+E36</f>
        <v>204500</v>
      </c>
      <c r="O36"/>
    </row>
    <row r="37" spans="1:15" ht="19.5">
      <c r="A37" s="82">
        <f t="shared" si="0"/>
        <v>36</v>
      </c>
      <c r="B37" s="83"/>
      <c r="C37" s="278" t="s">
        <v>1504</v>
      </c>
      <c r="D37" s="55"/>
      <c r="E37" s="236">
        <f>110454-730</f>
        <v>109724</v>
      </c>
      <c r="F37" s="46"/>
      <c r="G37" s="236"/>
      <c r="H37" s="236"/>
      <c r="I37" s="236"/>
      <c r="J37" s="236"/>
      <c r="K37" s="236">
        <f>+E37</f>
        <v>109724</v>
      </c>
      <c r="L37" s="236"/>
      <c r="M37" s="236"/>
    </row>
    <row r="38" spans="1:15" ht="19.5">
      <c r="A38" s="82">
        <f t="shared" si="0"/>
        <v>37</v>
      </c>
      <c r="B38" s="83"/>
      <c r="C38" s="278" t="s">
        <v>1505</v>
      </c>
      <c r="D38" s="55"/>
      <c r="E38" s="236">
        <v>0</v>
      </c>
      <c r="F38" s="46"/>
      <c r="G38" s="236"/>
      <c r="H38" s="236"/>
      <c r="I38" s="236"/>
      <c r="J38" s="236"/>
      <c r="K38" s="236">
        <f>+E38</f>
        <v>0</v>
      </c>
      <c r="L38" s="236"/>
      <c r="M38" s="236"/>
    </row>
    <row r="39" spans="1:15" ht="19.5">
      <c r="A39" s="82">
        <f t="shared" si="0"/>
        <v>38</v>
      </c>
      <c r="B39" s="83"/>
      <c r="C39" s="278" t="s">
        <v>1506</v>
      </c>
      <c r="D39" s="55"/>
      <c r="E39" s="236">
        <v>705</v>
      </c>
      <c r="F39" s="46"/>
      <c r="G39" s="236"/>
      <c r="H39" s="236"/>
      <c r="I39" s="236"/>
      <c r="J39" s="236"/>
      <c r="K39" s="236"/>
      <c r="L39" s="236"/>
      <c r="M39" s="236">
        <f>+E39</f>
        <v>705</v>
      </c>
    </row>
    <row r="40" spans="1:15" ht="19.5">
      <c r="A40" s="82">
        <f t="shared" si="0"/>
        <v>39</v>
      </c>
      <c r="B40" s="83"/>
      <c r="C40" s="278" t="s">
        <v>1507</v>
      </c>
      <c r="D40" s="55"/>
      <c r="E40" s="236">
        <v>-418</v>
      </c>
      <c r="F40" s="46"/>
      <c r="G40" s="236"/>
      <c r="H40" s="236"/>
      <c r="I40" s="236"/>
      <c r="J40" s="236"/>
      <c r="K40" s="236">
        <f>+E40</f>
        <v>-418</v>
      </c>
      <c r="L40" s="236"/>
      <c r="M40" s="236"/>
      <c r="O40"/>
    </row>
    <row r="41" spans="1:15" ht="19.5">
      <c r="A41" s="82">
        <f t="shared" si="0"/>
        <v>40</v>
      </c>
      <c r="B41" s="55"/>
      <c r="C41" s="278" t="s">
        <v>1508</v>
      </c>
      <c r="D41" s="55"/>
      <c r="E41" s="236">
        <f>728+20000</f>
        <v>20728</v>
      </c>
      <c r="F41" s="46"/>
      <c r="G41" s="236"/>
      <c r="H41" s="236"/>
      <c r="I41" s="236"/>
      <c r="J41" s="236"/>
      <c r="K41" s="236">
        <f>+E41</f>
        <v>20728</v>
      </c>
      <c r="L41" s="236"/>
      <c r="M41" s="236"/>
      <c r="O41"/>
    </row>
    <row r="42" spans="1:15" ht="19.5">
      <c r="A42" s="82">
        <f t="shared" si="0"/>
        <v>41</v>
      </c>
      <c r="B42" s="55"/>
      <c r="C42" s="278" t="s">
        <v>1509</v>
      </c>
      <c r="D42" s="55"/>
      <c r="E42" s="236">
        <v>0</v>
      </c>
      <c r="F42" s="46"/>
      <c r="G42" s="236"/>
      <c r="H42" s="236"/>
      <c r="I42" s="236"/>
      <c r="J42" s="236"/>
      <c r="K42" s="236">
        <f>+E42</f>
        <v>0</v>
      </c>
      <c r="L42" s="236"/>
      <c r="M42" s="236"/>
      <c r="O42"/>
    </row>
    <row r="43" spans="1:15" ht="19.5">
      <c r="A43" s="107">
        <f>A42+1</f>
        <v>42</v>
      </c>
      <c r="B43" s="55"/>
      <c r="C43" s="278" t="s">
        <v>1510</v>
      </c>
      <c r="D43" s="55"/>
      <c r="E43" s="236">
        <v>0</v>
      </c>
      <c r="F43" s="46"/>
      <c r="G43" s="236"/>
      <c r="H43" s="236"/>
      <c r="I43" s="236"/>
      <c r="J43" s="236"/>
      <c r="K43" s="236">
        <f>+E43</f>
        <v>0</v>
      </c>
      <c r="L43" s="236"/>
      <c r="M43" s="236"/>
      <c r="O43"/>
    </row>
    <row r="44" spans="1:15" ht="19.5">
      <c r="A44" s="107">
        <f>A43+1</f>
        <v>43</v>
      </c>
      <c r="B44" s="55"/>
      <c r="C44" s="278" t="s">
        <v>1511</v>
      </c>
      <c r="D44" s="55"/>
      <c r="E44" s="236">
        <v>52</v>
      </c>
      <c r="F44" s="46"/>
      <c r="G44" s="236"/>
      <c r="H44" s="236"/>
      <c r="I44" s="236"/>
      <c r="J44" s="236"/>
      <c r="K44" s="236">
        <f>+E44</f>
        <v>52</v>
      </c>
      <c r="L44" s="236"/>
      <c r="M44" s="236"/>
      <c r="O44"/>
    </row>
    <row r="45" spans="1:15" ht="19.5">
      <c r="A45" s="15"/>
      <c r="B45" s="15"/>
      <c r="C45" s="15"/>
      <c r="D45" s="15"/>
      <c r="E45" s="15"/>
      <c r="F45" s="46"/>
      <c r="H45" s="126"/>
      <c r="I45" s="127"/>
      <c r="J45" s="127"/>
      <c r="K45" s="125"/>
      <c r="L45" s="49"/>
      <c r="M45" s="49"/>
    </row>
    <row r="46" spans="1:15" ht="17.25" customHeight="1" thickBot="1">
      <c r="A46" s="82">
        <f>44+1</f>
        <v>45</v>
      </c>
      <c r="B46" s="15"/>
      <c r="C46" s="46" t="s">
        <v>395</v>
      </c>
      <c r="D46" s="15"/>
      <c r="E46" s="72">
        <f>SUM(E16:E44)</f>
        <v>42992669</v>
      </c>
      <c r="F46" s="46"/>
      <c r="G46" s="72">
        <f>SUM(G16:G44)</f>
        <v>37577829</v>
      </c>
      <c r="H46" s="126"/>
      <c r="I46" s="72">
        <f>SUM(I16:I44)</f>
        <v>5048882</v>
      </c>
      <c r="J46" s="127"/>
      <c r="K46" s="72">
        <f>SUM(K16:K44)</f>
        <v>150086</v>
      </c>
      <c r="L46" s="49"/>
      <c r="M46" s="72">
        <f>SUM(M16:M44)</f>
        <v>215872</v>
      </c>
    </row>
    <row r="47" spans="1:15" ht="15.75" customHeight="1" thickTop="1">
      <c r="A47" s="15"/>
      <c r="B47" s="15"/>
      <c r="C47" s="128" t="s">
        <v>142</v>
      </c>
      <c r="D47" s="99"/>
      <c r="E47" s="607">
        <v>42992669</v>
      </c>
      <c r="F47" s="128"/>
      <c r="G47" s="129"/>
      <c r="H47" s="129"/>
      <c r="J47" s="140"/>
      <c r="K47" s="141"/>
      <c r="L47" s="141"/>
      <c r="M47" s="130" t="str">
        <f>IF(SUM(G46:M46)=E46,"","Error - allocations don’t match total")</f>
        <v/>
      </c>
    </row>
    <row r="49" spans="3:9">
      <c r="C49" s="85" t="str">
        <f>"NOTE:  As a check, the difference between the total from Ln "&amp;A46&amp;" above and the total on FF1 p.263 line 41(i)"</f>
        <v>NOTE:  As a check, the difference between the total from Ln 45 above and the total on FF1 p.263 line 41(i)</v>
      </c>
    </row>
    <row r="50" spans="3:9">
      <c r="C50" s="85" t="s">
        <v>118</v>
      </c>
    </row>
    <row r="52" spans="3:9">
      <c r="I52" s="132"/>
    </row>
    <row r="180" spans="7:7" ht="13.5" thickBot="1"/>
    <row r="181" spans="7:7" ht="20.25" thickBot="1">
      <c r="G181" s="48" t="e">
        <f>IF(#REF!&lt;&gt;0,+#REF!/#REF!*#REF!,0)</f>
        <v>#REF!</v>
      </c>
    </row>
  </sheetData>
  <mergeCells count="6">
    <mergeCell ref="A7:M7"/>
    <mergeCell ref="A6:M6"/>
    <mergeCell ref="A2:M2"/>
    <mergeCell ref="A3:M3"/>
    <mergeCell ref="A4:M4"/>
    <mergeCell ref="A5:M5"/>
  </mergeCells>
  <phoneticPr fontId="59" type="noConversion"/>
  <printOptions horizontalCentered="1"/>
  <pageMargins left="0.75" right="0.75" top="1" bottom="0.25" header="0.65" footer="0.5"/>
  <pageSetup scale="27"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19" zoomScale="80" zoomScaleNormal="80" zoomScaleSheetLayoutView="80" zoomScalePageLayoutView="85" workbookViewId="0">
      <selection activeCell="H42" sqref="H42"/>
    </sheetView>
  </sheetViews>
  <sheetFormatPr defaultColWidth="11.42578125" defaultRowHeight="12.75"/>
  <cols>
    <col min="1" max="1" width="10.28515625" style="332" customWidth="1"/>
    <col min="2" max="2" width="52.28515625" style="292" customWidth="1"/>
    <col min="3" max="7" width="20.28515625" style="292" customWidth="1"/>
    <col min="8" max="8" width="23" style="292" customWidth="1"/>
    <col min="9" max="11" width="20.28515625" style="292" customWidth="1"/>
    <col min="12" max="12" width="20" style="292" customWidth="1"/>
    <col min="13" max="14" width="15.140625" style="292" customWidth="1"/>
    <col min="15" max="256" width="11.42578125" style="292"/>
    <col min="257" max="257" width="10.28515625" style="292" customWidth="1"/>
    <col min="258" max="258" width="52.28515625" style="292" customWidth="1"/>
    <col min="259" max="263" width="20.28515625" style="292" customWidth="1"/>
    <col min="264" max="264" width="23" style="292" customWidth="1"/>
    <col min="265" max="267" width="20.28515625" style="292" customWidth="1"/>
    <col min="268" max="268" width="20" style="292" customWidth="1"/>
    <col min="269" max="270" width="15.140625" style="292" customWidth="1"/>
    <col min="271" max="512" width="11.42578125" style="292"/>
    <col min="513" max="513" width="10.28515625" style="292" customWidth="1"/>
    <col min="514" max="514" width="52.28515625" style="292" customWidth="1"/>
    <col min="515" max="519" width="20.28515625" style="292" customWidth="1"/>
    <col min="520" max="520" width="23" style="292" customWidth="1"/>
    <col min="521" max="523" width="20.28515625" style="292" customWidth="1"/>
    <col min="524" max="524" width="20" style="292" customWidth="1"/>
    <col min="525" max="526" width="15.140625" style="292" customWidth="1"/>
    <col min="527" max="768" width="11.42578125" style="292"/>
    <col min="769" max="769" width="10.28515625" style="292" customWidth="1"/>
    <col min="770" max="770" width="52.28515625" style="292" customWidth="1"/>
    <col min="771" max="775" width="20.28515625" style="292" customWidth="1"/>
    <col min="776" max="776" width="23" style="292" customWidth="1"/>
    <col min="777" max="779" width="20.28515625" style="292" customWidth="1"/>
    <col min="780" max="780" width="20" style="292" customWidth="1"/>
    <col min="781" max="782" width="15.140625" style="292" customWidth="1"/>
    <col min="783" max="1024" width="11.42578125" style="292"/>
    <col min="1025" max="1025" width="10.28515625" style="292" customWidth="1"/>
    <col min="1026" max="1026" width="52.28515625" style="292" customWidth="1"/>
    <col min="1027" max="1031" width="20.28515625" style="292" customWidth="1"/>
    <col min="1032" max="1032" width="23" style="292" customWidth="1"/>
    <col min="1033" max="1035" width="20.28515625" style="292" customWidth="1"/>
    <col min="1036" max="1036" width="20" style="292" customWidth="1"/>
    <col min="1037" max="1038" width="15.140625" style="292" customWidth="1"/>
    <col min="1039" max="1280" width="11.42578125" style="292"/>
    <col min="1281" max="1281" width="10.28515625" style="292" customWidth="1"/>
    <col min="1282" max="1282" width="52.28515625" style="292" customWidth="1"/>
    <col min="1283" max="1287" width="20.28515625" style="292" customWidth="1"/>
    <col min="1288" max="1288" width="23" style="292" customWidth="1"/>
    <col min="1289" max="1291" width="20.28515625" style="292" customWidth="1"/>
    <col min="1292" max="1292" width="20" style="292" customWidth="1"/>
    <col min="1293" max="1294" width="15.140625" style="292" customWidth="1"/>
    <col min="1295" max="1536" width="11.42578125" style="292"/>
    <col min="1537" max="1537" width="10.28515625" style="292" customWidth="1"/>
    <col min="1538" max="1538" width="52.28515625" style="292" customWidth="1"/>
    <col min="1539" max="1543" width="20.28515625" style="292" customWidth="1"/>
    <col min="1544" max="1544" width="23" style="292" customWidth="1"/>
    <col min="1545" max="1547" width="20.28515625" style="292" customWidth="1"/>
    <col min="1548" max="1548" width="20" style="292" customWidth="1"/>
    <col min="1549" max="1550" width="15.140625" style="292" customWidth="1"/>
    <col min="1551" max="1792" width="11.42578125" style="292"/>
    <col min="1793" max="1793" width="10.28515625" style="292" customWidth="1"/>
    <col min="1794" max="1794" width="52.28515625" style="292" customWidth="1"/>
    <col min="1795" max="1799" width="20.28515625" style="292" customWidth="1"/>
    <col min="1800" max="1800" width="23" style="292" customWidth="1"/>
    <col min="1801" max="1803" width="20.28515625" style="292" customWidth="1"/>
    <col min="1804" max="1804" width="20" style="292" customWidth="1"/>
    <col min="1805" max="1806" width="15.140625" style="292" customWidth="1"/>
    <col min="1807" max="2048" width="11.42578125" style="292"/>
    <col min="2049" max="2049" width="10.28515625" style="292" customWidth="1"/>
    <col min="2050" max="2050" width="52.28515625" style="292" customWidth="1"/>
    <col min="2051" max="2055" width="20.28515625" style="292" customWidth="1"/>
    <col min="2056" max="2056" width="23" style="292" customWidth="1"/>
    <col min="2057" max="2059" width="20.28515625" style="292" customWidth="1"/>
    <col min="2060" max="2060" width="20" style="292" customWidth="1"/>
    <col min="2061" max="2062" width="15.140625" style="292" customWidth="1"/>
    <col min="2063" max="2304" width="11.42578125" style="292"/>
    <col min="2305" max="2305" width="10.28515625" style="292" customWidth="1"/>
    <col min="2306" max="2306" width="52.28515625" style="292" customWidth="1"/>
    <col min="2307" max="2311" width="20.28515625" style="292" customWidth="1"/>
    <col min="2312" max="2312" width="23" style="292" customWidth="1"/>
    <col min="2313" max="2315" width="20.28515625" style="292" customWidth="1"/>
    <col min="2316" max="2316" width="20" style="292" customWidth="1"/>
    <col min="2317" max="2318" width="15.140625" style="292" customWidth="1"/>
    <col min="2319" max="2560" width="11.42578125" style="292"/>
    <col min="2561" max="2561" width="10.28515625" style="292" customWidth="1"/>
    <col min="2562" max="2562" width="52.28515625" style="292" customWidth="1"/>
    <col min="2563" max="2567" width="20.28515625" style="292" customWidth="1"/>
    <col min="2568" max="2568" width="23" style="292" customWidth="1"/>
    <col min="2569" max="2571" width="20.28515625" style="292" customWidth="1"/>
    <col min="2572" max="2572" width="20" style="292" customWidth="1"/>
    <col min="2573" max="2574" width="15.140625" style="292" customWidth="1"/>
    <col min="2575" max="2816" width="11.42578125" style="292"/>
    <col min="2817" max="2817" width="10.28515625" style="292" customWidth="1"/>
    <col min="2818" max="2818" width="52.28515625" style="292" customWidth="1"/>
    <col min="2819" max="2823" width="20.28515625" style="292" customWidth="1"/>
    <col min="2824" max="2824" width="23" style="292" customWidth="1"/>
    <col min="2825" max="2827" width="20.28515625" style="292" customWidth="1"/>
    <col min="2828" max="2828" width="20" style="292" customWidth="1"/>
    <col min="2829" max="2830" width="15.140625" style="292" customWidth="1"/>
    <col min="2831" max="3072" width="11.42578125" style="292"/>
    <col min="3073" max="3073" width="10.28515625" style="292" customWidth="1"/>
    <col min="3074" max="3074" width="52.28515625" style="292" customWidth="1"/>
    <col min="3075" max="3079" width="20.28515625" style="292" customWidth="1"/>
    <col min="3080" max="3080" width="23" style="292" customWidth="1"/>
    <col min="3081" max="3083" width="20.28515625" style="292" customWidth="1"/>
    <col min="3084" max="3084" width="20" style="292" customWidth="1"/>
    <col min="3085" max="3086" width="15.140625" style="292" customWidth="1"/>
    <col min="3087" max="3328" width="11.42578125" style="292"/>
    <col min="3329" max="3329" width="10.28515625" style="292" customWidth="1"/>
    <col min="3330" max="3330" width="52.28515625" style="292" customWidth="1"/>
    <col min="3331" max="3335" width="20.28515625" style="292" customWidth="1"/>
    <col min="3336" max="3336" width="23" style="292" customWidth="1"/>
    <col min="3337" max="3339" width="20.28515625" style="292" customWidth="1"/>
    <col min="3340" max="3340" width="20" style="292" customWidth="1"/>
    <col min="3341" max="3342" width="15.140625" style="292" customWidth="1"/>
    <col min="3343" max="3584" width="11.42578125" style="292"/>
    <col min="3585" max="3585" width="10.28515625" style="292" customWidth="1"/>
    <col min="3586" max="3586" width="52.28515625" style="292" customWidth="1"/>
    <col min="3587" max="3591" width="20.28515625" style="292" customWidth="1"/>
    <col min="3592" max="3592" width="23" style="292" customWidth="1"/>
    <col min="3593" max="3595" width="20.28515625" style="292" customWidth="1"/>
    <col min="3596" max="3596" width="20" style="292" customWidth="1"/>
    <col min="3597" max="3598" width="15.140625" style="292" customWidth="1"/>
    <col min="3599" max="3840" width="11.42578125" style="292"/>
    <col min="3841" max="3841" width="10.28515625" style="292" customWidth="1"/>
    <col min="3842" max="3842" width="52.28515625" style="292" customWidth="1"/>
    <col min="3843" max="3847" width="20.28515625" style="292" customWidth="1"/>
    <col min="3848" max="3848" width="23" style="292" customWidth="1"/>
    <col min="3849" max="3851" width="20.28515625" style="292" customWidth="1"/>
    <col min="3852" max="3852" width="20" style="292" customWidth="1"/>
    <col min="3853" max="3854" width="15.140625" style="292" customWidth="1"/>
    <col min="3855" max="4096" width="11.42578125" style="292"/>
    <col min="4097" max="4097" width="10.28515625" style="292" customWidth="1"/>
    <col min="4098" max="4098" width="52.28515625" style="292" customWidth="1"/>
    <col min="4099" max="4103" width="20.28515625" style="292" customWidth="1"/>
    <col min="4104" max="4104" width="23" style="292" customWidth="1"/>
    <col min="4105" max="4107" width="20.28515625" style="292" customWidth="1"/>
    <col min="4108" max="4108" width="20" style="292" customWidth="1"/>
    <col min="4109" max="4110" width="15.140625" style="292" customWidth="1"/>
    <col min="4111" max="4352" width="11.42578125" style="292"/>
    <col min="4353" max="4353" width="10.28515625" style="292" customWidth="1"/>
    <col min="4354" max="4354" width="52.28515625" style="292" customWidth="1"/>
    <col min="4355" max="4359" width="20.28515625" style="292" customWidth="1"/>
    <col min="4360" max="4360" width="23" style="292" customWidth="1"/>
    <col min="4361" max="4363" width="20.28515625" style="292" customWidth="1"/>
    <col min="4364" max="4364" width="20" style="292" customWidth="1"/>
    <col min="4365" max="4366" width="15.140625" style="292" customWidth="1"/>
    <col min="4367" max="4608" width="11.42578125" style="292"/>
    <col min="4609" max="4609" width="10.28515625" style="292" customWidth="1"/>
    <col min="4610" max="4610" width="52.28515625" style="292" customWidth="1"/>
    <col min="4611" max="4615" width="20.28515625" style="292" customWidth="1"/>
    <col min="4616" max="4616" width="23" style="292" customWidth="1"/>
    <col min="4617" max="4619" width="20.28515625" style="292" customWidth="1"/>
    <col min="4620" max="4620" width="20" style="292" customWidth="1"/>
    <col min="4621" max="4622" width="15.140625" style="292" customWidth="1"/>
    <col min="4623" max="4864" width="11.42578125" style="292"/>
    <col min="4865" max="4865" width="10.28515625" style="292" customWidth="1"/>
    <col min="4866" max="4866" width="52.28515625" style="292" customWidth="1"/>
    <col min="4867" max="4871" width="20.28515625" style="292" customWidth="1"/>
    <col min="4872" max="4872" width="23" style="292" customWidth="1"/>
    <col min="4873" max="4875" width="20.28515625" style="292" customWidth="1"/>
    <col min="4876" max="4876" width="20" style="292" customWidth="1"/>
    <col min="4877" max="4878" width="15.140625" style="292" customWidth="1"/>
    <col min="4879" max="5120" width="11.42578125" style="292"/>
    <col min="5121" max="5121" width="10.28515625" style="292" customWidth="1"/>
    <col min="5122" max="5122" width="52.28515625" style="292" customWidth="1"/>
    <col min="5123" max="5127" width="20.28515625" style="292" customWidth="1"/>
    <col min="5128" max="5128" width="23" style="292" customWidth="1"/>
    <col min="5129" max="5131" width="20.28515625" style="292" customWidth="1"/>
    <col min="5132" max="5132" width="20" style="292" customWidth="1"/>
    <col min="5133" max="5134" width="15.140625" style="292" customWidth="1"/>
    <col min="5135" max="5376" width="11.42578125" style="292"/>
    <col min="5377" max="5377" width="10.28515625" style="292" customWidth="1"/>
    <col min="5378" max="5378" width="52.28515625" style="292" customWidth="1"/>
    <col min="5379" max="5383" width="20.28515625" style="292" customWidth="1"/>
    <col min="5384" max="5384" width="23" style="292" customWidth="1"/>
    <col min="5385" max="5387" width="20.28515625" style="292" customWidth="1"/>
    <col min="5388" max="5388" width="20" style="292" customWidth="1"/>
    <col min="5389" max="5390" width="15.140625" style="292" customWidth="1"/>
    <col min="5391" max="5632" width="11.42578125" style="292"/>
    <col min="5633" max="5633" width="10.28515625" style="292" customWidth="1"/>
    <col min="5634" max="5634" width="52.28515625" style="292" customWidth="1"/>
    <col min="5635" max="5639" width="20.28515625" style="292" customWidth="1"/>
    <col min="5640" max="5640" width="23" style="292" customWidth="1"/>
    <col min="5641" max="5643" width="20.28515625" style="292" customWidth="1"/>
    <col min="5644" max="5644" width="20" style="292" customWidth="1"/>
    <col min="5645" max="5646" width="15.140625" style="292" customWidth="1"/>
    <col min="5647" max="5888" width="11.42578125" style="292"/>
    <col min="5889" max="5889" width="10.28515625" style="292" customWidth="1"/>
    <col min="5890" max="5890" width="52.28515625" style="292" customWidth="1"/>
    <col min="5891" max="5895" width="20.28515625" style="292" customWidth="1"/>
    <col min="5896" max="5896" width="23" style="292" customWidth="1"/>
    <col min="5897" max="5899" width="20.28515625" style="292" customWidth="1"/>
    <col min="5900" max="5900" width="20" style="292" customWidth="1"/>
    <col min="5901" max="5902" width="15.140625" style="292" customWidth="1"/>
    <col min="5903" max="6144" width="11.42578125" style="292"/>
    <col min="6145" max="6145" width="10.28515625" style="292" customWidth="1"/>
    <col min="6146" max="6146" width="52.28515625" style="292" customWidth="1"/>
    <col min="6147" max="6151" width="20.28515625" style="292" customWidth="1"/>
    <col min="6152" max="6152" width="23" style="292" customWidth="1"/>
    <col min="6153" max="6155" width="20.28515625" style="292" customWidth="1"/>
    <col min="6156" max="6156" width="20" style="292" customWidth="1"/>
    <col min="6157" max="6158" width="15.140625" style="292" customWidth="1"/>
    <col min="6159" max="6400" width="11.42578125" style="292"/>
    <col min="6401" max="6401" width="10.28515625" style="292" customWidth="1"/>
    <col min="6402" max="6402" width="52.28515625" style="292" customWidth="1"/>
    <col min="6403" max="6407" width="20.28515625" style="292" customWidth="1"/>
    <col min="6408" max="6408" width="23" style="292" customWidth="1"/>
    <col min="6409" max="6411" width="20.28515625" style="292" customWidth="1"/>
    <col min="6412" max="6412" width="20" style="292" customWidth="1"/>
    <col min="6413" max="6414" width="15.140625" style="292" customWidth="1"/>
    <col min="6415" max="6656" width="11.42578125" style="292"/>
    <col min="6657" max="6657" width="10.28515625" style="292" customWidth="1"/>
    <col min="6658" max="6658" width="52.28515625" style="292" customWidth="1"/>
    <col min="6659" max="6663" width="20.28515625" style="292" customWidth="1"/>
    <col min="6664" max="6664" width="23" style="292" customWidth="1"/>
    <col min="6665" max="6667" width="20.28515625" style="292" customWidth="1"/>
    <col min="6668" max="6668" width="20" style="292" customWidth="1"/>
    <col min="6669" max="6670" width="15.140625" style="292" customWidth="1"/>
    <col min="6671" max="6912" width="11.42578125" style="292"/>
    <col min="6913" max="6913" width="10.28515625" style="292" customWidth="1"/>
    <col min="6914" max="6914" width="52.28515625" style="292" customWidth="1"/>
    <col min="6915" max="6919" width="20.28515625" style="292" customWidth="1"/>
    <col min="6920" max="6920" width="23" style="292" customWidth="1"/>
    <col min="6921" max="6923" width="20.28515625" style="292" customWidth="1"/>
    <col min="6924" max="6924" width="20" style="292" customWidth="1"/>
    <col min="6925" max="6926" width="15.140625" style="292" customWidth="1"/>
    <col min="6927" max="7168" width="11.42578125" style="292"/>
    <col min="7169" max="7169" width="10.28515625" style="292" customWidth="1"/>
    <col min="7170" max="7170" width="52.28515625" style="292" customWidth="1"/>
    <col min="7171" max="7175" width="20.28515625" style="292" customWidth="1"/>
    <col min="7176" max="7176" width="23" style="292" customWidth="1"/>
    <col min="7177" max="7179" width="20.28515625" style="292" customWidth="1"/>
    <col min="7180" max="7180" width="20" style="292" customWidth="1"/>
    <col min="7181" max="7182" width="15.140625" style="292" customWidth="1"/>
    <col min="7183" max="7424" width="11.42578125" style="292"/>
    <col min="7425" max="7425" width="10.28515625" style="292" customWidth="1"/>
    <col min="7426" max="7426" width="52.28515625" style="292" customWidth="1"/>
    <col min="7427" max="7431" width="20.28515625" style="292" customWidth="1"/>
    <col min="7432" max="7432" width="23" style="292" customWidth="1"/>
    <col min="7433" max="7435" width="20.28515625" style="292" customWidth="1"/>
    <col min="7436" max="7436" width="20" style="292" customWidth="1"/>
    <col min="7437" max="7438" width="15.140625" style="292" customWidth="1"/>
    <col min="7439" max="7680" width="11.42578125" style="292"/>
    <col min="7681" max="7681" width="10.28515625" style="292" customWidth="1"/>
    <col min="7682" max="7682" width="52.28515625" style="292" customWidth="1"/>
    <col min="7683" max="7687" width="20.28515625" style="292" customWidth="1"/>
    <col min="7688" max="7688" width="23" style="292" customWidth="1"/>
    <col min="7689" max="7691" width="20.28515625" style="292" customWidth="1"/>
    <col min="7692" max="7692" width="20" style="292" customWidth="1"/>
    <col min="7693" max="7694" width="15.140625" style="292" customWidth="1"/>
    <col min="7695" max="7936" width="11.42578125" style="292"/>
    <col min="7937" max="7937" width="10.28515625" style="292" customWidth="1"/>
    <col min="7938" max="7938" width="52.28515625" style="292" customWidth="1"/>
    <col min="7939" max="7943" width="20.28515625" style="292" customWidth="1"/>
    <col min="7944" max="7944" width="23" style="292" customWidth="1"/>
    <col min="7945" max="7947" width="20.28515625" style="292" customWidth="1"/>
    <col min="7948" max="7948" width="20" style="292" customWidth="1"/>
    <col min="7949" max="7950" width="15.140625" style="292" customWidth="1"/>
    <col min="7951" max="8192" width="11.42578125" style="292"/>
    <col min="8193" max="8193" width="10.28515625" style="292" customWidth="1"/>
    <col min="8194" max="8194" width="52.28515625" style="292" customWidth="1"/>
    <col min="8195" max="8199" width="20.28515625" style="292" customWidth="1"/>
    <col min="8200" max="8200" width="23" style="292" customWidth="1"/>
    <col min="8201" max="8203" width="20.28515625" style="292" customWidth="1"/>
    <col min="8204" max="8204" width="20" style="292" customWidth="1"/>
    <col min="8205" max="8206" width="15.140625" style="292" customWidth="1"/>
    <col min="8207" max="8448" width="11.42578125" style="292"/>
    <col min="8449" max="8449" width="10.28515625" style="292" customWidth="1"/>
    <col min="8450" max="8450" width="52.28515625" style="292" customWidth="1"/>
    <col min="8451" max="8455" width="20.28515625" style="292" customWidth="1"/>
    <col min="8456" max="8456" width="23" style="292" customWidth="1"/>
    <col min="8457" max="8459" width="20.28515625" style="292" customWidth="1"/>
    <col min="8460" max="8460" width="20" style="292" customWidth="1"/>
    <col min="8461" max="8462" width="15.140625" style="292" customWidth="1"/>
    <col min="8463" max="8704" width="11.42578125" style="292"/>
    <col min="8705" max="8705" width="10.28515625" style="292" customWidth="1"/>
    <col min="8706" max="8706" width="52.28515625" style="292" customWidth="1"/>
    <col min="8707" max="8711" width="20.28515625" style="292" customWidth="1"/>
    <col min="8712" max="8712" width="23" style="292" customWidth="1"/>
    <col min="8713" max="8715" width="20.28515625" style="292" customWidth="1"/>
    <col min="8716" max="8716" width="20" style="292" customWidth="1"/>
    <col min="8717" max="8718" width="15.140625" style="292" customWidth="1"/>
    <col min="8719" max="8960" width="11.42578125" style="292"/>
    <col min="8961" max="8961" width="10.28515625" style="292" customWidth="1"/>
    <col min="8962" max="8962" width="52.28515625" style="292" customWidth="1"/>
    <col min="8963" max="8967" width="20.28515625" style="292" customWidth="1"/>
    <col min="8968" max="8968" width="23" style="292" customWidth="1"/>
    <col min="8969" max="8971" width="20.28515625" style="292" customWidth="1"/>
    <col min="8972" max="8972" width="20" style="292" customWidth="1"/>
    <col min="8973" max="8974" width="15.140625" style="292" customWidth="1"/>
    <col min="8975" max="9216" width="11.42578125" style="292"/>
    <col min="9217" max="9217" width="10.28515625" style="292" customWidth="1"/>
    <col min="9218" max="9218" width="52.28515625" style="292" customWidth="1"/>
    <col min="9219" max="9223" width="20.28515625" style="292" customWidth="1"/>
    <col min="9224" max="9224" width="23" style="292" customWidth="1"/>
    <col min="9225" max="9227" width="20.28515625" style="292" customWidth="1"/>
    <col min="9228" max="9228" width="20" style="292" customWidth="1"/>
    <col min="9229" max="9230" width="15.140625" style="292" customWidth="1"/>
    <col min="9231" max="9472" width="11.42578125" style="292"/>
    <col min="9473" max="9473" width="10.28515625" style="292" customWidth="1"/>
    <col min="9474" max="9474" width="52.28515625" style="292" customWidth="1"/>
    <col min="9475" max="9479" width="20.28515625" style="292" customWidth="1"/>
    <col min="9480" max="9480" width="23" style="292" customWidth="1"/>
    <col min="9481" max="9483" width="20.28515625" style="292" customWidth="1"/>
    <col min="9484" max="9484" width="20" style="292" customWidth="1"/>
    <col min="9485" max="9486" width="15.140625" style="292" customWidth="1"/>
    <col min="9487" max="9728" width="11.42578125" style="292"/>
    <col min="9729" max="9729" width="10.28515625" style="292" customWidth="1"/>
    <col min="9730" max="9730" width="52.28515625" style="292" customWidth="1"/>
    <col min="9731" max="9735" width="20.28515625" style="292" customWidth="1"/>
    <col min="9736" max="9736" width="23" style="292" customWidth="1"/>
    <col min="9737" max="9739" width="20.28515625" style="292" customWidth="1"/>
    <col min="9740" max="9740" width="20" style="292" customWidth="1"/>
    <col min="9741" max="9742" width="15.140625" style="292" customWidth="1"/>
    <col min="9743" max="9984" width="11.42578125" style="292"/>
    <col min="9985" max="9985" width="10.28515625" style="292" customWidth="1"/>
    <col min="9986" max="9986" width="52.28515625" style="292" customWidth="1"/>
    <col min="9987" max="9991" width="20.28515625" style="292" customWidth="1"/>
    <col min="9992" max="9992" width="23" style="292" customWidth="1"/>
    <col min="9993" max="9995" width="20.28515625" style="292" customWidth="1"/>
    <col min="9996" max="9996" width="20" style="292" customWidth="1"/>
    <col min="9997" max="9998" width="15.140625" style="292" customWidth="1"/>
    <col min="9999" max="10240" width="11.42578125" style="292"/>
    <col min="10241" max="10241" width="10.28515625" style="292" customWidth="1"/>
    <col min="10242" max="10242" width="52.28515625" style="292" customWidth="1"/>
    <col min="10243" max="10247" width="20.28515625" style="292" customWidth="1"/>
    <col min="10248" max="10248" width="23" style="292" customWidth="1"/>
    <col min="10249" max="10251" width="20.28515625" style="292" customWidth="1"/>
    <col min="10252" max="10252" width="20" style="292" customWidth="1"/>
    <col min="10253" max="10254" width="15.140625" style="292" customWidth="1"/>
    <col min="10255" max="10496" width="11.42578125" style="292"/>
    <col min="10497" max="10497" width="10.28515625" style="292" customWidth="1"/>
    <col min="10498" max="10498" width="52.28515625" style="292" customWidth="1"/>
    <col min="10499" max="10503" width="20.28515625" style="292" customWidth="1"/>
    <col min="10504" max="10504" width="23" style="292" customWidth="1"/>
    <col min="10505" max="10507" width="20.28515625" style="292" customWidth="1"/>
    <col min="10508" max="10508" width="20" style="292" customWidth="1"/>
    <col min="10509" max="10510" width="15.140625" style="292" customWidth="1"/>
    <col min="10511" max="10752" width="11.42578125" style="292"/>
    <col min="10753" max="10753" width="10.28515625" style="292" customWidth="1"/>
    <col min="10754" max="10754" width="52.28515625" style="292" customWidth="1"/>
    <col min="10755" max="10759" width="20.28515625" style="292" customWidth="1"/>
    <col min="10760" max="10760" width="23" style="292" customWidth="1"/>
    <col min="10761" max="10763" width="20.28515625" style="292" customWidth="1"/>
    <col min="10764" max="10764" width="20" style="292" customWidth="1"/>
    <col min="10765" max="10766" width="15.140625" style="292" customWidth="1"/>
    <col min="10767" max="11008" width="11.42578125" style="292"/>
    <col min="11009" max="11009" width="10.28515625" style="292" customWidth="1"/>
    <col min="11010" max="11010" width="52.28515625" style="292" customWidth="1"/>
    <col min="11011" max="11015" width="20.28515625" style="292" customWidth="1"/>
    <col min="11016" max="11016" width="23" style="292" customWidth="1"/>
    <col min="11017" max="11019" width="20.28515625" style="292" customWidth="1"/>
    <col min="11020" max="11020" width="20" style="292" customWidth="1"/>
    <col min="11021" max="11022" width="15.140625" style="292" customWidth="1"/>
    <col min="11023" max="11264" width="11.42578125" style="292"/>
    <col min="11265" max="11265" width="10.28515625" style="292" customWidth="1"/>
    <col min="11266" max="11266" width="52.28515625" style="292" customWidth="1"/>
    <col min="11267" max="11271" width="20.28515625" style="292" customWidth="1"/>
    <col min="11272" max="11272" width="23" style="292" customWidth="1"/>
    <col min="11273" max="11275" width="20.28515625" style="292" customWidth="1"/>
    <col min="11276" max="11276" width="20" style="292" customWidth="1"/>
    <col min="11277" max="11278" width="15.140625" style="292" customWidth="1"/>
    <col min="11279" max="11520" width="11.42578125" style="292"/>
    <col min="11521" max="11521" width="10.28515625" style="292" customWidth="1"/>
    <col min="11522" max="11522" width="52.28515625" style="292" customWidth="1"/>
    <col min="11523" max="11527" width="20.28515625" style="292" customWidth="1"/>
    <col min="11528" max="11528" width="23" style="292" customWidth="1"/>
    <col min="11529" max="11531" width="20.28515625" style="292" customWidth="1"/>
    <col min="11532" max="11532" width="20" style="292" customWidth="1"/>
    <col min="11533" max="11534" width="15.140625" style="292" customWidth="1"/>
    <col min="11535" max="11776" width="11.42578125" style="292"/>
    <col min="11777" max="11777" width="10.28515625" style="292" customWidth="1"/>
    <col min="11778" max="11778" width="52.28515625" style="292" customWidth="1"/>
    <col min="11779" max="11783" width="20.28515625" style="292" customWidth="1"/>
    <col min="11784" max="11784" width="23" style="292" customWidth="1"/>
    <col min="11785" max="11787" width="20.28515625" style="292" customWidth="1"/>
    <col min="11788" max="11788" width="20" style="292" customWidth="1"/>
    <col min="11789" max="11790" width="15.140625" style="292" customWidth="1"/>
    <col min="11791" max="12032" width="11.42578125" style="292"/>
    <col min="12033" max="12033" width="10.28515625" style="292" customWidth="1"/>
    <col min="12034" max="12034" width="52.28515625" style="292" customWidth="1"/>
    <col min="12035" max="12039" width="20.28515625" style="292" customWidth="1"/>
    <col min="12040" max="12040" width="23" style="292" customWidth="1"/>
    <col min="12041" max="12043" width="20.28515625" style="292" customWidth="1"/>
    <col min="12044" max="12044" width="20" style="292" customWidth="1"/>
    <col min="12045" max="12046" width="15.140625" style="292" customWidth="1"/>
    <col min="12047" max="12288" width="11.42578125" style="292"/>
    <col min="12289" max="12289" width="10.28515625" style="292" customWidth="1"/>
    <col min="12290" max="12290" width="52.28515625" style="292" customWidth="1"/>
    <col min="12291" max="12295" width="20.28515625" style="292" customWidth="1"/>
    <col min="12296" max="12296" width="23" style="292" customWidth="1"/>
    <col min="12297" max="12299" width="20.28515625" style="292" customWidth="1"/>
    <col min="12300" max="12300" width="20" style="292" customWidth="1"/>
    <col min="12301" max="12302" width="15.140625" style="292" customWidth="1"/>
    <col min="12303" max="12544" width="11.42578125" style="292"/>
    <col min="12545" max="12545" width="10.28515625" style="292" customWidth="1"/>
    <col min="12546" max="12546" width="52.28515625" style="292" customWidth="1"/>
    <col min="12547" max="12551" width="20.28515625" style="292" customWidth="1"/>
    <col min="12552" max="12552" width="23" style="292" customWidth="1"/>
    <col min="12553" max="12555" width="20.28515625" style="292" customWidth="1"/>
    <col min="12556" max="12556" width="20" style="292" customWidth="1"/>
    <col min="12557" max="12558" width="15.140625" style="292" customWidth="1"/>
    <col min="12559" max="12800" width="11.42578125" style="292"/>
    <col min="12801" max="12801" width="10.28515625" style="292" customWidth="1"/>
    <col min="12802" max="12802" width="52.28515625" style="292" customWidth="1"/>
    <col min="12803" max="12807" width="20.28515625" style="292" customWidth="1"/>
    <col min="12808" max="12808" width="23" style="292" customWidth="1"/>
    <col min="12809" max="12811" width="20.28515625" style="292" customWidth="1"/>
    <col min="12812" max="12812" width="20" style="292" customWidth="1"/>
    <col min="12813" max="12814" width="15.140625" style="292" customWidth="1"/>
    <col min="12815" max="13056" width="11.42578125" style="292"/>
    <col min="13057" max="13057" width="10.28515625" style="292" customWidth="1"/>
    <col min="13058" max="13058" width="52.28515625" style="292" customWidth="1"/>
    <col min="13059" max="13063" width="20.28515625" style="292" customWidth="1"/>
    <col min="13064" max="13064" width="23" style="292" customWidth="1"/>
    <col min="13065" max="13067" width="20.28515625" style="292" customWidth="1"/>
    <col min="13068" max="13068" width="20" style="292" customWidth="1"/>
    <col min="13069" max="13070" width="15.140625" style="292" customWidth="1"/>
    <col min="13071" max="13312" width="11.42578125" style="292"/>
    <col min="13313" max="13313" width="10.28515625" style="292" customWidth="1"/>
    <col min="13314" max="13314" width="52.28515625" style="292" customWidth="1"/>
    <col min="13315" max="13319" width="20.28515625" style="292" customWidth="1"/>
    <col min="13320" max="13320" width="23" style="292" customWidth="1"/>
    <col min="13321" max="13323" width="20.28515625" style="292" customWidth="1"/>
    <col min="13324" max="13324" width="20" style="292" customWidth="1"/>
    <col min="13325" max="13326" width="15.140625" style="292" customWidth="1"/>
    <col min="13327" max="13568" width="11.42578125" style="292"/>
    <col min="13569" max="13569" width="10.28515625" style="292" customWidth="1"/>
    <col min="13570" max="13570" width="52.28515625" style="292" customWidth="1"/>
    <col min="13571" max="13575" width="20.28515625" style="292" customWidth="1"/>
    <col min="13576" max="13576" width="23" style="292" customWidth="1"/>
    <col min="13577" max="13579" width="20.28515625" style="292" customWidth="1"/>
    <col min="13580" max="13580" width="20" style="292" customWidth="1"/>
    <col min="13581" max="13582" width="15.140625" style="292" customWidth="1"/>
    <col min="13583" max="13824" width="11.42578125" style="292"/>
    <col min="13825" max="13825" width="10.28515625" style="292" customWidth="1"/>
    <col min="13826" max="13826" width="52.28515625" style="292" customWidth="1"/>
    <col min="13827" max="13831" width="20.28515625" style="292" customWidth="1"/>
    <col min="13832" max="13832" width="23" style="292" customWidth="1"/>
    <col min="13833" max="13835" width="20.28515625" style="292" customWidth="1"/>
    <col min="13836" max="13836" width="20" style="292" customWidth="1"/>
    <col min="13837" max="13838" width="15.140625" style="292" customWidth="1"/>
    <col min="13839" max="14080" width="11.42578125" style="292"/>
    <col min="14081" max="14081" width="10.28515625" style="292" customWidth="1"/>
    <col min="14082" max="14082" width="52.28515625" style="292" customWidth="1"/>
    <col min="14083" max="14087" width="20.28515625" style="292" customWidth="1"/>
    <col min="14088" max="14088" width="23" style="292" customWidth="1"/>
    <col min="14089" max="14091" width="20.28515625" style="292" customWidth="1"/>
    <col min="14092" max="14092" width="20" style="292" customWidth="1"/>
    <col min="14093" max="14094" width="15.140625" style="292" customWidth="1"/>
    <col min="14095" max="14336" width="11.42578125" style="292"/>
    <col min="14337" max="14337" width="10.28515625" style="292" customWidth="1"/>
    <col min="14338" max="14338" width="52.28515625" style="292" customWidth="1"/>
    <col min="14339" max="14343" width="20.28515625" style="292" customWidth="1"/>
    <col min="14344" max="14344" width="23" style="292" customWidth="1"/>
    <col min="14345" max="14347" width="20.28515625" style="292" customWidth="1"/>
    <col min="14348" max="14348" width="20" style="292" customWidth="1"/>
    <col min="14349" max="14350" width="15.140625" style="292" customWidth="1"/>
    <col min="14351" max="14592" width="11.42578125" style="292"/>
    <col min="14593" max="14593" width="10.28515625" style="292" customWidth="1"/>
    <col min="14594" max="14594" width="52.28515625" style="292" customWidth="1"/>
    <col min="14595" max="14599" width="20.28515625" style="292" customWidth="1"/>
    <col min="14600" max="14600" width="23" style="292" customWidth="1"/>
    <col min="14601" max="14603" width="20.28515625" style="292" customWidth="1"/>
    <col min="14604" max="14604" width="20" style="292" customWidth="1"/>
    <col min="14605" max="14606" width="15.140625" style="292" customWidth="1"/>
    <col min="14607" max="14848" width="11.42578125" style="292"/>
    <col min="14849" max="14849" width="10.28515625" style="292" customWidth="1"/>
    <col min="14850" max="14850" width="52.28515625" style="292" customWidth="1"/>
    <col min="14851" max="14855" width="20.28515625" style="292" customWidth="1"/>
    <col min="14856" max="14856" width="23" style="292" customWidth="1"/>
    <col min="14857" max="14859" width="20.28515625" style="292" customWidth="1"/>
    <col min="14860" max="14860" width="20" style="292" customWidth="1"/>
    <col min="14861" max="14862" width="15.140625" style="292" customWidth="1"/>
    <col min="14863" max="15104" width="11.42578125" style="292"/>
    <col min="15105" max="15105" width="10.28515625" style="292" customWidth="1"/>
    <col min="15106" max="15106" width="52.28515625" style="292" customWidth="1"/>
    <col min="15107" max="15111" width="20.28515625" style="292" customWidth="1"/>
    <col min="15112" max="15112" width="23" style="292" customWidth="1"/>
    <col min="15113" max="15115" width="20.28515625" style="292" customWidth="1"/>
    <col min="15116" max="15116" width="20" style="292" customWidth="1"/>
    <col min="15117" max="15118" width="15.140625" style="292" customWidth="1"/>
    <col min="15119" max="15360" width="11.42578125" style="292"/>
    <col min="15361" max="15361" width="10.28515625" style="292" customWidth="1"/>
    <col min="15362" max="15362" width="52.28515625" style="292" customWidth="1"/>
    <col min="15363" max="15367" width="20.28515625" style="292" customWidth="1"/>
    <col min="15368" max="15368" width="23" style="292" customWidth="1"/>
    <col min="15369" max="15371" width="20.28515625" style="292" customWidth="1"/>
    <col min="15372" max="15372" width="20" style="292" customWidth="1"/>
    <col min="15373" max="15374" width="15.140625" style="292" customWidth="1"/>
    <col min="15375" max="15616" width="11.42578125" style="292"/>
    <col min="15617" max="15617" width="10.28515625" style="292" customWidth="1"/>
    <col min="15618" max="15618" width="52.28515625" style="292" customWidth="1"/>
    <col min="15619" max="15623" width="20.28515625" style="292" customWidth="1"/>
    <col min="15624" max="15624" width="23" style="292" customWidth="1"/>
    <col min="15625" max="15627" width="20.28515625" style="292" customWidth="1"/>
    <col min="15628" max="15628" width="20" style="292" customWidth="1"/>
    <col min="15629" max="15630" width="15.140625" style="292" customWidth="1"/>
    <col min="15631" max="15872" width="11.42578125" style="292"/>
    <col min="15873" max="15873" width="10.28515625" style="292" customWidth="1"/>
    <col min="15874" max="15874" width="52.28515625" style="292" customWidth="1"/>
    <col min="15875" max="15879" width="20.28515625" style="292" customWidth="1"/>
    <col min="15880" max="15880" width="23" style="292" customWidth="1"/>
    <col min="15881" max="15883" width="20.28515625" style="292" customWidth="1"/>
    <col min="15884" max="15884" width="20" style="292" customWidth="1"/>
    <col min="15885" max="15886" width="15.140625" style="292" customWidth="1"/>
    <col min="15887" max="16128" width="11.42578125" style="292"/>
    <col min="16129" max="16129" width="10.28515625" style="292" customWidth="1"/>
    <col min="16130" max="16130" width="52.28515625" style="292" customWidth="1"/>
    <col min="16131" max="16135" width="20.28515625" style="292" customWidth="1"/>
    <col min="16136" max="16136" width="23" style="292" customWidth="1"/>
    <col min="16137" max="16139" width="20.28515625" style="292" customWidth="1"/>
    <col min="16140" max="16140" width="20" style="292" customWidth="1"/>
    <col min="16141" max="16142" width="15.140625" style="292" customWidth="1"/>
    <col min="16143" max="16384" width="11.42578125" style="292"/>
  </cols>
  <sheetData>
    <row r="1" spans="1:22" ht="15">
      <c r="A1" s="287"/>
      <c r="B1" s="108"/>
      <c r="C1" s="108"/>
      <c r="D1" s="108"/>
      <c r="E1" s="132"/>
      <c r="F1" s="106"/>
      <c r="G1" s="106"/>
      <c r="H1" s="106"/>
      <c r="I1" s="106"/>
      <c r="J1" s="106"/>
      <c r="K1" s="106"/>
      <c r="L1" s="106"/>
      <c r="M1" s="106"/>
    </row>
    <row r="2" spans="1:22" ht="15">
      <c r="A2" s="2501" t="str">
        <f>+'PSO TCOS'!F4</f>
        <v xml:space="preserve">AEP West SPP Member Operating Companies </v>
      </c>
      <c r="B2" s="2501"/>
      <c r="C2" s="2501"/>
      <c r="D2" s="2501"/>
      <c r="E2" s="2501"/>
      <c r="F2" s="2501"/>
      <c r="G2" s="2501"/>
      <c r="H2" s="2501"/>
      <c r="I2" s="22"/>
      <c r="J2" s="22"/>
      <c r="K2" s="22"/>
      <c r="L2" s="22"/>
      <c r="M2" s="22"/>
    </row>
    <row r="3" spans="1:22" ht="15">
      <c r="A3" s="2505" t="str">
        <f>+'PSO WS A-1 - Plant'!A3</f>
        <v xml:space="preserve">Actual / Projected 2018 Rate Year Cost of Service Formula Rate </v>
      </c>
      <c r="B3" s="2505"/>
      <c r="C3" s="2505"/>
      <c r="D3" s="2505"/>
      <c r="E3" s="2505"/>
      <c r="F3" s="2505"/>
      <c r="G3" s="2505"/>
      <c r="H3" s="2505"/>
      <c r="I3" s="137"/>
      <c r="J3" s="137"/>
      <c r="K3" s="137"/>
      <c r="L3" s="137"/>
      <c r="M3" s="137"/>
    </row>
    <row r="4" spans="1:22" ht="15.75">
      <c r="A4" s="2506" t="s">
        <v>1329</v>
      </c>
      <c r="B4" s="2506"/>
      <c r="C4" s="2506"/>
      <c r="D4" s="2506"/>
      <c r="E4" s="2506"/>
      <c r="F4" s="2506"/>
      <c r="G4" s="2506"/>
      <c r="H4" s="2506"/>
      <c r="I4" s="137"/>
      <c r="J4" s="137"/>
      <c r="K4" s="137"/>
      <c r="L4" s="137"/>
      <c r="M4" s="137"/>
    </row>
    <row r="5" spans="1:22" ht="15.75">
      <c r="A5" s="2509" t="str">
        <f>+'PSO TCOS'!F8</f>
        <v>PUBLIC SERVICE COMPANY OF OKLAHOMA</v>
      </c>
      <c r="B5" s="2509"/>
      <c r="C5" s="2509"/>
      <c r="D5" s="2509"/>
      <c r="E5" s="2509"/>
      <c r="F5" s="2509"/>
      <c r="G5" s="2509"/>
      <c r="H5" s="2509"/>
      <c r="I5" s="167"/>
      <c r="J5" s="167"/>
      <c r="K5" s="167"/>
      <c r="L5" s="167"/>
      <c r="M5" s="167"/>
    </row>
    <row r="6" spans="1:22">
      <c r="A6" s="293"/>
      <c r="B6" s="294"/>
      <c r="C6" s="294"/>
      <c r="D6" s="294"/>
      <c r="E6" s="295"/>
      <c r="F6" s="296"/>
      <c r="H6" s="286"/>
      <c r="I6" s="286"/>
      <c r="J6" s="286"/>
      <c r="K6" s="286"/>
      <c r="L6" s="286"/>
    </row>
    <row r="7" spans="1:22" ht="12.75" customHeight="1">
      <c r="A7" s="291"/>
      <c r="B7" s="297"/>
      <c r="C7" s="2515" t="s">
        <v>177</v>
      </c>
      <c r="D7" s="2516"/>
      <c r="E7" s="2516"/>
      <c r="F7" s="2516"/>
      <c r="G7" s="2517"/>
      <c r="H7" s="298"/>
      <c r="I7" s="286"/>
      <c r="J7" s="286"/>
      <c r="K7" s="286"/>
      <c r="L7" s="286"/>
    </row>
    <row r="8" spans="1:22" s="304" customFormat="1" ht="50.25" customHeight="1">
      <c r="A8" s="299" t="s">
        <v>1121</v>
      </c>
      <c r="B8" s="300" t="s">
        <v>1104</v>
      </c>
      <c r="C8" s="301" t="s">
        <v>1298</v>
      </c>
      <c r="D8" s="302" t="s">
        <v>1299</v>
      </c>
      <c r="E8" s="302" t="s">
        <v>1300</v>
      </c>
      <c r="F8" s="302" t="s">
        <v>1301</v>
      </c>
      <c r="G8" s="303" t="s">
        <v>177</v>
      </c>
      <c r="H8" s="298"/>
      <c r="I8" s="286"/>
      <c r="J8" s="286"/>
      <c r="K8" s="286"/>
      <c r="L8" s="286"/>
    </row>
    <row r="9" spans="1:22" s="310" customFormat="1">
      <c r="A9" s="305"/>
      <c r="B9" s="306" t="s">
        <v>1130</v>
      </c>
      <c r="C9" s="307" t="s">
        <v>1131</v>
      </c>
      <c r="D9" s="308" t="s">
        <v>1132</v>
      </c>
      <c r="E9" s="308" t="s">
        <v>1133</v>
      </c>
      <c r="F9" s="308" t="s">
        <v>1134</v>
      </c>
      <c r="G9" s="309" t="s">
        <v>1302</v>
      </c>
      <c r="H9" s="298"/>
      <c r="I9" s="286"/>
      <c r="J9" s="286"/>
      <c r="K9" s="286"/>
      <c r="L9" s="286"/>
    </row>
    <row r="10" spans="1:22" s="310" customFormat="1" ht="44.25" customHeight="1">
      <c r="A10" s="305"/>
      <c r="B10" s="306" t="s">
        <v>1303</v>
      </c>
      <c r="C10" s="311" t="s">
        <v>1304</v>
      </c>
      <c r="D10" s="312" t="s">
        <v>1305</v>
      </c>
      <c r="E10" s="312" t="s">
        <v>1306</v>
      </c>
      <c r="F10" s="312" t="s">
        <v>1307</v>
      </c>
      <c r="G10" s="313"/>
      <c r="H10" s="298"/>
      <c r="I10" s="286"/>
      <c r="J10" s="286"/>
      <c r="K10" s="286"/>
      <c r="L10" s="286"/>
    </row>
    <row r="11" spans="1:22">
      <c r="A11" s="305">
        <v>1</v>
      </c>
      <c r="B11" s="314" t="s">
        <v>1140</v>
      </c>
      <c r="C11" s="148">
        <v>1215336330</v>
      </c>
      <c r="D11" s="148">
        <v>0</v>
      </c>
      <c r="E11" s="148">
        <v>0</v>
      </c>
      <c r="F11" s="148">
        <v>2563612</v>
      </c>
      <c r="G11" s="315">
        <f t="shared" ref="G11:G23" si="0">+C11-D11-E11-F11</f>
        <v>1212772718</v>
      </c>
      <c r="H11" s="298"/>
      <c r="I11"/>
      <c r="J11"/>
      <c r="K11"/>
      <c r="L11"/>
      <c r="M11"/>
      <c r="N11"/>
      <c r="O11"/>
      <c r="P11"/>
      <c r="Q11"/>
      <c r="R11"/>
      <c r="S11"/>
      <c r="T11"/>
      <c r="U11"/>
      <c r="V11"/>
    </row>
    <row r="12" spans="1:22">
      <c r="A12" s="305">
        <f t="shared" ref="A12:A24" si="1">+A11+1</f>
        <v>2</v>
      </c>
      <c r="B12" s="314" t="s">
        <v>324</v>
      </c>
      <c r="C12" s="590"/>
      <c r="D12" s="590"/>
      <c r="E12" s="590"/>
      <c r="F12" s="590"/>
      <c r="G12" s="591">
        <f t="shared" si="0"/>
        <v>0</v>
      </c>
      <c r="H12" s="298"/>
      <c r="I12" s="286"/>
      <c r="J12" s="286"/>
      <c r="K12" s="286"/>
      <c r="L12" s="286"/>
    </row>
    <row r="13" spans="1:22">
      <c r="A13" s="305">
        <f t="shared" si="1"/>
        <v>3</v>
      </c>
      <c r="B13" s="316" t="s">
        <v>517</v>
      </c>
      <c r="C13" s="590"/>
      <c r="D13" s="590"/>
      <c r="E13" s="590"/>
      <c r="F13" s="590"/>
      <c r="G13" s="591">
        <f t="shared" si="0"/>
        <v>0</v>
      </c>
      <c r="H13" s="298"/>
      <c r="I13" s="286"/>
      <c r="J13" s="286"/>
      <c r="K13" s="286"/>
      <c r="L13" s="286"/>
    </row>
    <row r="14" spans="1:22">
      <c r="A14" s="305">
        <f t="shared" si="1"/>
        <v>4</v>
      </c>
      <c r="B14" s="316" t="s">
        <v>1141</v>
      </c>
      <c r="C14" s="590"/>
      <c r="D14" s="590"/>
      <c r="E14" s="590"/>
      <c r="F14" s="590"/>
      <c r="G14" s="591">
        <f t="shared" si="0"/>
        <v>0</v>
      </c>
      <c r="H14" s="298"/>
      <c r="I14" s="286"/>
      <c r="J14" s="286"/>
      <c r="K14" s="286"/>
      <c r="L14" s="286"/>
    </row>
    <row r="15" spans="1:22">
      <c r="A15" s="305">
        <f t="shared" si="1"/>
        <v>5</v>
      </c>
      <c r="B15" s="316" t="s">
        <v>326</v>
      </c>
      <c r="C15" s="590"/>
      <c r="D15" s="590"/>
      <c r="E15" s="590"/>
      <c r="F15" s="590"/>
      <c r="G15" s="591">
        <f t="shared" si="0"/>
        <v>0</v>
      </c>
      <c r="H15" s="298"/>
      <c r="I15" s="286"/>
      <c r="J15" s="286"/>
      <c r="K15" s="286"/>
      <c r="L15" s="286"/>
    </row>
    <row r="16" spans="1:22">
      <c r="A16" s="305">
        <f t="shared" si="1"/>
        <v>6</v>
      </c>
      <c r="B16" s="316" t="s">
        <v>327</v>
      </c>
      <c r="C16" s="590"/>
      <c r="D16" s="590"/>
      <c r="E16" s="590"/>
      <c r="F16" s="590"/>
      <c r="G16" s="591">
        <f t="shared" si="0"/>
        <v>0</v>
      </c>
      <c r="H16" s="298"/>
      <c r="I16" s="286"/>
      <c r="J16" s="286"/>
      <c r="K16" s="286"/>
      <c r="L16" s="286"/>
    </row>
    <row r="17" spans="1:23">
      <c r="A17" s="305">
        <f t="shared" si="1"/>
        <v>7</v>
      </c>
      <c r="B17" s="316" t="s">
        <v>48</v>
      </c>
      <c r="C17" s="590"/>
      <c r="D17" s="590"/>
      <c r="E17" s="590"/>
      <c r="F17" s="590"/>
      <c r="G17" s="591">
        <f t="shared" si="0"/>
        <v>0</v>
      </c>
      <c r="H17" s="298"/>
      <c r="I17" s="286"/>
      <c r="J17" s="286"/>
      <c r="K17" s="286"/>
      <c r="L17" s="286"/>
    </row>
    <row r="18" spans="1:23">
      <c r="A18" s="305">
        <f t="shared" si="1"/>
        <v>8</v>
      </c>
      <c r="B18" s="316" t="s">
        <v>328</v>
      </c>
      <c r="C18" s="590"/>
      <c r="D18" s="590"/>
      <c r="E18" s="590"/>
      <c r="F18" s="590"/>
      <c r="G18" s="591">
        <f t="shared" si="0"/>
        <v>0</v>
      </c>
      <c r="H18" s="298"/>
      <c r="I18" s="286"/>
      <c r="J18" s="286"/>
      <c r="K18" s="286"/>
      <c r="L18" s="286"/>
    </row>
    <row r="19" spans="1:23">
      <c r="A19" s="305">
        <f t="shared" si="1"/>
        <v>9</v>
      </c>
      <c r="B19" s="316" t="s">
        <v>1142</v>
      </c>
      <c r="C19" s="590"/>
      <c r="D19" s="590"/>
      <c r="E19" s="590"/>
      <c r="F19" s="590"/>
      <c r="G19" s="591">
        <f t="shared" si="0"/>
        <v>0</v>
      </c>
      <c r="H19" s="298"/>
      <c r="I19" s="286"/>
      <c r="J19" s="286"/>
      <c r="K19" s="286"/>
      <c r="L19" s="286"/>
    </row>
    <row r="20" spans="1:23">
      <c r="A20" s="305">
        <f t="shared" si="1"/>
        <v>10</v>
      </c>
      <c r="B20" s="316" t="s">
        <v>331</v>
      </c>
      <c r="C20" s="590"/>
      <c r="D20" s="590"/>
      <c r="E20" s="590"/>
      <c r="F20" s="590"/>
      <c r="G20" s="591">
        <f t="shared" si="0"/>
        <v>0</v>
      </c>
      <c r="H20" s="298"/>
      <c r="I20" s="286"/>
      <c r="J20" s="286"/>
      <c r="K20" s="286"/>
      <c r="L20" s="286"/>
    </row>
    <row r="21" spans="1:23">
      <c r="A21" s="305">
        <f t="shared" si="1"/>
        <v>11</v>
      </c>
      <c r="B21" s="316" t="s">
        <v>518</v>
      </c>
      <c r="C21" s="590"/>
      <c r="D21" s="590"/>
      <c r="E21" s="590"/>
      <c r="F21" s="590"/>
      <c r="G21" s="591">
        <f t="shared" si="0"/>
        <v>0</v>
      </c>
      <c r="H21" s="298"/>
      <c r="I21" s="286"/>
      <c r="J21" s="286"/>
      <c r="K21" s="286"/>
      <c r="L21" s="286"/>
    </row>
    <row r="22" spans="1:23">
      <c r="A22" s="305">
        <f t="shared" si="1"/>
        <v>12</v>
      </c>
      <c r="B22" s="316" t="s">
        <v>519</v>
      </c>
      <c r="C22" s="590"/>
      <c r="D22" s="590"/>
      <c r="E22" s="590"/>
      <c r="F22" s="590"/>
      <c r="G22" s="591">
        <f t="shared" si="0"/>
        <v>0</v>
      </c>
      <c r="H22" s="298"/>
      <c r="I22" s="286"/>
      <c r="J22" s="286"/>
      <c r="K22" s="286"/>
      <c r="L22" s="286"/>
    </row>
    <row r="23" spans="1:23">
      <c r="A23" s="317">
        <f t="shared" si="1"/>
        <v>13</v>
      </c>
      <c r="B23" s="318" t="s">
        <v>1143</v>
      </c>
      <c r="C23" s="148">
        <v>1248092691.4080005</v>
      </c>
      <c r="D23" s="148">
        <v>0</v>
      </c>
      <c r="E23" s="148">
        <v>0</v>
      </c>
      <c r="F23" s="148">
        <v>2105253.54</v>
      </c>
      <c r="G23" s="315">
        <f t="shared" si="0"/>
        <v>1245987437.8680005</v>
      </c>
      <c r="H23" s="298"/>
      <c r="I23" s="286"/>
      <c r="J23" s="286"/>
      <c r="K23" s="286"/>
      <c r="L23" s="286"/>
    </row>
    <row r="24" spans="1:23" ht="13.5" thickBot="1">
      <c r="A24" s="384">
        <f t="shared" si="1"/>
        <v>14</v>
      </c>
      <c r="B24" s="589" t="s">
        <v>1387</v>
      </c>
      <c r="C24" s="320">
        <f>+(C11+C23)/2</f>
        <v>1231714510.7040002</v>
      </c>
      <c r="D24" s="321">
        <f t="shared" ref="D24:G24" si="2">+(D11+D23)/2</f>
        <v>0</v>
      </c>
      <c r="E24" s="321">
        <f t="shared" si="2"/>
        <v>0</v>
      </c>
      <c r="F24" s="321">
        <f t="shared" si="2"/>
        <v>2334432.77</v>
      </c>
      <c r="G24" s="322">
        <f t="shared" si="2"/>
        <v>1229380077.9340003</v>
      </c>
      <c r="H24" s="298"/>
      <c r="I24" s="286"/>
      <c r="J24" s="286"/>
      <c r="K24" s="286"/>
      <c r="L24" s="286"/>
    </row>
    <row r="25" spans="1:23" ht="13.5" thickTop="1">
      <c r="A25" s="291"/>
      <c r="B25" s="323"/>
      <c r="C25" s="324"/>
      <c r="D25" s="325"/>
      <c r="E25" s="325"/>
      <c r="F25" s="325"/>
      <c r="G25" s="324"/>
      <c r="H25" s="324"/>
      <c r="I25" s="286"/>
      <c r="J25" s="286"/>
      <c r="K25" s="286"/>
      <c r="L25" s="286"/>
    </row>
    <row r="26" spans="1:23" ht="12.75" customHeight="1">
      <c r="A26" s="291"/>
      <c r="B26" s="297"/>
      <c r="C26" s="2518" t="s">
        <v>1308</v>
      </c>
      <c r="D26" s="2519"/>
      <c r="E26" s="2519"/>
      <c r="F26" s="2519"/>
      <c r="G26" s="2519"/>
      <c r="H26" s="2520"/>
      <c r="I26" s="286"/>
      <c r="J26" s="286"/>
      <c r="K26" s="286"/>
      <c r="L26" s="286"/>
    </row>
    <row r="27" spans="1:23" s="304" customFormat="1" ht="38.25">
      <c r="A27" s="299" t="s">
        <v>1121</v>
      </c>
      <c r="B27" s="300" t="s">
        <v>1104</v>
      </c>
      <c r="C27" s="301" t="s">
        <v>1309</v>
      </c>
      <c r="D27" s="302" t="s">
        <v>1310</v>
      </c>
      <c r="E27" s="302" t="s">
        <v>1311</v>
      </c>
      <c r="F27" s="302" t="s">
        <v>1312</v>
      </c>
      <c r="G27" s="302" t="s">
        <v>1313</v>
      </c>
      <c r="H27" s="303" t="s">
        <v>1314</v>
      </c>
      <c r="I27" s="286"/>
      <c r="J27" s="286"/>
      <c r="K27" s="286"/>
      <c r="L27" s="286"/>
    </row>
    <row r="28" spans="1:23" s="310" customFormat="1">
      <c r="A28" s="305"/>
      <c r="B28" s="306" t="s">
        <v>1130</v>
      </c>
      <c r="C28" s="307" t="s">
        <v>1131</v>
      </c>
      <c r="D28" s="308" t="s">
        <v>1132</v>
      </c>
      <c r="E28" s="308" t="s">
        <v>1133</v>
      </c>
      <c r="F28" s="308" t="s">
        <v>1134</v>
      </c>
      <c r="G28" s="308" t="s">
        <v>1135</v>
      </c>
      <c r="H28" s="309" t="s">
        <v>1315</v>
      </c>
      <c r="I28" s="286"/>
      <c r="J28" s="286"/>
      <c r="K28" s="286"/>
      <c r="L28" s="286"/>
    </row>
    <row r="29" spans="1:23" s="310" customFormat="1" ht="44.25" customHeight="1">
      <c r="A29" s="305"/>
      <c r="B29" s="306" t="s">
        <v>1303</v>
      </c>
      <c r="C29" s="311" t="s">
        <v>1316</v>
      </c>
      <c r="D29" s="312" t="s">
        <v>1317</v>
      </c>
      <c r="E29" s="312" t="s">
        <v>1318</v>
      </c>
      <c r="F29" s="312" t="s">
        <v>1319</v>
      </c>
      <c r="G29" s="312" t="s">
        <v>1320</v>
      </c>
      <c r="H29" s="326"/>
      <c r="I29" s="286"/>
      <c r="J29" s="286"/>
      <c r="K29" s="286"/>
      <c r="L29" s="286"/>
    </row>
    <row r="30" spans="1:23">
      <c r="A30" s="305">
        <f>+A24+1</f>
        <v>15</v>
      </c>
      <c r="B30" s="314" t="s">
        <v>1140</v>
      </c>
      <c r="C30" s="148">
        <v>0</v>
      </c>
      <c r="D30" s="148">
        <v>0</v>
      </c>
      <c r="E30" s="148">
        <v>0</v>
      </c>
      <c r="F30" s="148">
        <v>1292668803</v>
      </c>
      <c r="G30" s="148">
        <v>0</v>
      </c>
      <c r="H30" s="315">
        <f t="shared" ref="H30:H42" si="3">+C30-D30+E30+F30-G30</f>
        <v>1292668803</v>
      </c>
      <c r="I30" s="286"/>
      <c r="J30"/>
      <c r="K30"/>
      <c r="L30"/>
      <c r="M30"/>
      <c r="N30"/>
      <c r="O30"/>
      <c r="P30"/>
      <c r="Q30"/>
      <c r="R30"/>
      <c r="S30"/>
      <c r="T30"/>
      <c r="U30"/>
      <c r="V30"/>
      <c r="W30"/>
    </row>
    <row r="31" spans="1:23">
      <c r="A31" s="305">
        <f t="shared" ref="A31:A43" si="4">+A30+1</f>
        <v>16</v>
      </c>
      <c r="B31" s="314" t="s">
        <v>324</v>
      </c>
      <c r="C31" s="590"/>
      <c r="D31" s="590"/>
      <c r="E31" s="590"/>
      <c r="F31" s="590"/>
      <c r="G31" s="590"/>
      <c r="H31" s="591">
        <f t="shared" si="3"/>
        <v>0</v>
      </c>
      <c r="I31" s="286"/>
      <c r="J31" s="286"/>
      <c r="K31" s="286"/>
      <c r="L31" s="286"/>
    </row>
    <row r="32" spans="1:23">
      <c r="A32" s="305">
        <f t="shared" si="4"/>
        <v>17</v>
      </c>
      <c r="B32" s="316" t="s">
        <v>517</v>
      </c>
      <c r="C32" s="590"/>
      <c r="D32" s="590"/>
      <c r="E32" s="590"/>
      <c r="F32" s="590"/>
      <c r="G32" s="590"/>
      <c r="H32" s="591">
        <f t="shared" si="3"/>
        <v>0</v>
      </c>
      <c r="I32" s="286"/>
      <c r="J32" s="286"/>
      <c r="K32" s="286"/>
      <c r="L32" s="286"/>
    </row>
    <row r="33" spans="1:12">
      <c r="A33" s="305">
        <f t="shared" si="4"/>
        <v>18</v>
      </c>
      <c r="B33" s="316" t="s">
        <v>1141</v>
      </c>
      <c r="C33" s="590"/>
      <c r="D33" s="590"/>
      <c r="E33" s="590"/>
      <c r="F33" s="590"/>
      <c r="G33" s="590"/>
      <c r="H33" s="591">
        <f t="shared" si="3"/>
        <v>0</v>
      </c>
      <c r="I33" s="286"/>
      <c r="J33" s="286"/>
      <c r="K33" s="286"/>
      <c r="L33" s="286"/>
    </row>
    <row r="34" spans="1:12">
      <c r="A34" s="305">
        <f t="shared" si="4"/>
        <v>19</v>
      </c>
      <c r="B34" s="316" t="s">
        <v>326</v>
      </c>
      <c r="C34" s="590"/>
      <c r="D34" s="590"/>
      <c r="E34" s="590"/>
      <c r="F34" s="590"/>
      <c r="G34" s="590"/>
      <c r="H34" s="591">
        <f t="shared" si="3"/>
        <v>0</v>
      </c>
      <c r="I34" s="286"/>
      <c r="J34" s="286"/>
      <c r="K34" s="286"/>
      <c r="L34" s="286"/>
    </row>
    <row r="35" spans="1:12">
      <c r="A35" s="305">
        <f t="shared" si="4"/>
        <v>20</v>
      </c>
      <c r="B35" s="316" t="s">
        <v>327</v>
      </c>
      <c r="C35" s="590"/>
      <c r="D35" s="590"/>
      <c r="E35" s="590"/>
      <c r="F35" s="590"/>
      <c r="G35" s="590"/>
      <c r="H35" s="591">
        <f t="shared" si="3"/>
        <v>0</v>
      </c>
      <c r="I35" s="286"/>
      <c r="J35" s="286"/>
      <c r="K35" s="286"/>
      <c r="L35" s="286"/>
    </row>
    <row r="36" spans="1:12">
      <c r="A36" s="305">
        <f t="shared" si="4"/>
        <v>21</v>
      </c>
      <c r="B36" s="316" t="s">
        <v>48</v>
      </c>
      <c r="C36" s="590"/>
      <c r="D36" s="590"/>
      <c r="E36" s="590"/>
      <c r="F36" s="590"/>
      <c r="G36" s="590"/>
      <c r="H36" s="591">
        <f t="shared" si="3"/>
        <v>0</v>
      </c>
      <c r="I36" s="286"/>
      <c r="J36" s="286"/>
      <c r="K36" s="286"/>
      <c r="L36" s="286"/>
    </row>
    <row r="37" spans="1:12">
      <c r="A37" s="305">
        <f t="shared" si="4"/>
        <v>22</v>
      </c>
      <c r="B37" s="316" t="s">
        <v>328</v>
      </c>
      <c r="C37" s="590"/>
      <c r="D37" s="590"/>
      <c r="E37" s="590"/>
      <c r="F37" s="590"/>
      <c r="G37" s="590"/>
      <c r="H37" s="591">
        <f t="shared" si="3"/>
        <v>0</v>
      </c>
      <c r="I37" s="286"/>
      <c r="J37" s="286"/>
      <c r="K37" s="286"/>
      <c r="L37" s="286"/>
    </row>
    <row r="38" spans="1:12">
      <c r="A38" s="305">
        <f t="shared" si="4"/>
        <v>23</v>
      </c>
      <c r="B38" s="316" t="s">
        <v>1142</v>
      </c>
      <c r="C38" s="590"/>
      <c r="D38" s="590"/>
      <c r="E38" s="590"/>
      <c r="F38" s="590"/>
      <c r="G38" s="590"/>
      <c r="H38" s="591">
        <f t="shared" si="3"/>
        <v>0</v>
      </c>
      <c r="I38" s="286"/>
      <c r="J38" s="286"/>
      <c r="K38" s="286"/>
      <c r="L38" s="286"/>
    </row>
    <row r="39" spans="1:12">
      <c r="A39" s="305">
        <f t="shared" si="4"/>
        <v>24</v>
      </c>
      <c r="B39" s="316" t="s">
        <v>331</v>
      </c>
      <c r="C39" s="590"/>
      <c r="D39" s="590"/>
      <c r="E39" s="590"/>
      <c r="F39" s="590"/>
      <c r="G39" s="590"/>
      <c r="H39" s="591">
        <f t="shared" si="3"/>
        <v>0</v>
      </c>
      <c r="I39" s="286"/>
      <c r="J39" s="286"/>
      <c r="K39" s="286"/>
      <c r="L39" s="286"/>
    </row>
    <row r="40" spans="1:12">
      <c r="A40" s="305">
        <f t="shared" si="4"/>
        <v>25</v>
      </c>
      <c r="B40" s="316" t="s">
        <v>518</v>
      </c>
      <c r="C40" s="590"/>
      <c r="D40" s="590"/>
      <c r="E40" s="590"/>
      <c r="F40" s="590"/>
      <c r="G40" s="590"/>
      <c r="H40" s="591">
        <f t="shared" si="3"/>
        <v>0</v>
      </c>
      <c r="I40" s="286"/>
      <c r="J40" s="286"/>
      <c r="K40" s="286"/>
      <c r="L40" s="286"/>
    </row>
    <row r="41" spans="1:12">
      <c r="A41" s="305">
        <f t="shared" si="4"/>
        <v>26</v>
      </c>
      <c r="B41" s="316" t="s">
        <v>519</v>
      </c>
      <c r="C41" s="590"/>
      <c r="D41" s="590"/>
      <c r="E41" s="590"/>
      <c r="F41" s="590"/>
      <c r="G41" s="590"/>
      <c r="H41" s="591">
        <f t="shared" si="3"/>
        <v>0</v>
      </c>
      <c r="I41" s="286"/>
      <c r="J41" s="286"/>
      <c r="K41" s="286"/>
      <c r="L41" s="286"/>
    </row>
    <row r="42" spans="1:12">
      <c r="A42" s="317">
        <f t="shared" si="4"/>
        <v>27</v>
      </c>
      <c r="B42" s="318" t="s">
        <v>1143</v>
      </c>
      <c r="C42" s="148">
        <v>0</v>
      </c>
      <c r="D42" s="148">
        <v>0</v>
      </c>
      <c r="E42" s="148">
        <v>0</v>
      </c>
      <c r="F42" s="148">
        <v>1292201442.3099999</v>
      </c>
      <c r="G42" s="148">
        <v>0</v>
      </c>
      <c r="H42" s="315">
        <f t="shared" si="3"/>
        <v>1292201442.3099999</v>
      </c>
      <c r="I42" s="286"/>
      <c r="J42" s="286"/>
      <c r="K42" s="286"/>
      <c r="L42" s="286"/>
    </row>
    <row r="43" spans="1:12" ht="13.5" thickBot="1">
      <c r="A43" s="319">
        <f t="shared" si="4"/>
        <v>28</v>
      </c>
      <c r="B43" s="589" t="s">
        <v>1387</v>
      </c>
      <c r="C43" s="320">
        <f t="shared" ref="C43" si="5">+(C30+C42)/2</f>
        <v>0</v>
      </c>
      <c r="D43" s="321">
        <f t="shared" ref="D43" si="6">+(D30+D42)/2</f>
        <v>0</v>
      </c>
      <c r="E43" s="321">
        <f t="shared" ref="E43" si="7">+(E30+E42)/2</f>
        <v>0</v>
      </c>
      <c r="F43" s="321">
        <f t="shared" ref="F43" si="8">+(F30+F42)/2</f>
        <v>1292435122.655</v>
      </c>
      <c r="G43" s="321">
        <f t="shared" ref="G43" si="9">+(G30+G42)/2</f>
        <v>0</v>
      </c>
      <c r="H43" s="322">
        <f t="shared" ref="H43" si="10">+(H30+H42)/2</f>
        <v>1292435122.655</v>
      </c>
      <c r="I43" s="286"/>
      <c r="J43" s="286"/>
      <c r="K43" s="286"/>
      <c r="L43" s="286"/>
    </row>
    <row r="44" spans="1:12" ht="13.5" thickTop="1">
      <c r="A44" s="293"/>
      <c r="B44" s="327"/>
      <c r="C44" s="328"/>
      <c r="D44" s="329"/>
      <c r="E44" s="329"/>
      <c r="F44" s="329"/>
      <c r="G44" s="328"/>
      <c r="H44" s="328"/>
      <c r="I44" s="286"/>
      <c r="J44" s="286"/>
      <c r="K44" s="286"/>
      <c r="L44" s="286"/>
    </row>
    <row r="45" spans="1:12" ht="12.75" customHeight="1">
      <c r="A45" s="330" t="s">
        <v>1321</v>
      </c>
      <c r="F45" s="331"/>
      <c r="G45" s="331"/>
      <c r="H45" s="331"/>
      <c r="I45" s="286"/>
      <c r="J45" s="286"/>
      <c r="K45" s="286"/>
    </row>
    <row r="46" spans="1:12">
      <c r="E46" s="331"/>
      <c r="F46" s="331"/>
      <c r="G46" s="331"/>
      <c r="H46" s="331"/>
      <c r="J46" s="327"/>
    </row>
    <row r="47" spans="1:12" ht="15">
      <c r="A47" s="333" t="s">
        <v>172</v>
      </c>
      <c r="E47" s="331"/>
      <c r="F47" s="331"/>
      <c r="G47" s="331"/>
      <c r="H47" s="291"/>
    </row>
    <row r="48" spans="1:12" ht="25.5">
      <c r="A48" s="299" t="s">
        <v>1121</v>
      </c>
      <c r="B48" s="334" t="s">
        <v>1130</v>
      </c>
      <c r="C48" s="334" t="s">
        <v>1131</v>
      </c>
      <c r="D48" s="335" t="s">
        <v>1132</v>
      </c>
      <c r="E48" s="334" t="s">
        <v>1133</v>
      </c>
      <c r="F48" s="335" t="s">
        <v>1134</v>
      </c>
      <c r="G48" s="334" t="s">
        <v>1135</v>
      </c>
      <c r="H48" s="334" t="s">
        <v>1136</v>
      </c>
    </row>
    <row r="49" spans="1:12" ht="15">
      <c r="A49" s="333"/>
      <c r="B49" s="334"/>
      <c r="C49" s="334"/>
      <c r="D49" s="335"/>
      <c r="E49" s="334"/>
      <c r="F49" s="335"/>
      <c r="G49" s="334"/>
      <c r="H49" s="334"/>
    </row>
    <row r="50" spans="1:12">
      <c r="A50" s="336">
        <f>+A43+1</f>
        <v>29</v>
      </c>
      <c r="B50" s="337" t="str">
        <f>"Annual Interest Expense for "&amp;'PSO TCOS'!N2</f>
        <v>Annual Interest Expense for 2018</v>
      </c>
      <c r="C50" s="338"/>
      <c r="D50" s="339"/>
      <c r="E50" s="340"/>
      <c r="F50" s="340"/>
      <c r="G50" s="340"/>
      <c r="H50" s="340"/>
      <c r="I50" s="340"/>
      <c r="J50" s="340"/>
      <c r="K50" s="340"/>
      <c r="L50" s="340"/>
    </row>
    <row r="51" spans="1:12">
      <c r="A51" s="336">
        <f t="shared" ref="A51:A58" si="11">+A50+1</f>
        <v>30</v>
      </c>
      <c r="B51" s="341" t="s">
        <v>864</v>
      </c>
      <c r="C51" s="338"/>
      <c r="D51" s="339"/>
      <c r="E51" s="148">
        <v>58769658</v>
      </c>
      <c r="F51" s="340"/>
      <c r="G51" s="340"/>
      <c r="H51" s="340"/>
      <c r="I51" s="340"/>
      <c r="J51" s="340"/>
      <c r="K51" s="340"/>
      <c r="L51" s="340"/>
    </row>
    <row r="52" spans="1:12" ht="28.5" customHeight="1">
      <c r="A52" s="336">
        <f t="shared" si="11"/>
        <v>31</v>
      </c>
      <c r="B52" s="2511" t="str">
        <f>"Less: Total Hedge Gain/Expense Accumulated from p 256-257, col. (i) of FERC Form 1  included in Ln "&amp;A51&amp;" and shown in "&amp;A76&amp;" below."</f>
        <v>Less: Total Hedge Gain/Expense Accumulated from p 256-257, col. (i) of FERC Form 1  included in Ln 30 and shown in 50 below.</v>
      </c>
      <c r="C52" s="2512"/>
      <c r="D52" s="339"/>
      <c r="E52" s="338">
        <f>+C76</f>
        <v>-1279141</v>
      </c>
      <c r="F52" s="340"/>
      <c r="G52" s="340"/>
      <c r="H52" s="340"/>
      <c r="I52" s="340"/>
      <c r="J52" s="340"/>
      <c r="K52" s="340"/>
      <c r="L52" s="340"/>
    </row>
    <row r="53" spans="1:12" ht="16.5" customHeight="1">
      <c r="A53" s="336">
        <f t="shared" si="11"/>
        <v>32</v>
      </c>
      <c r="B53" s="342" t="str">
        <f>"Plus:  Allowed Hedge Recovery From Ln "&amp;A82&amp;"  below."</f>
        <v>Plus:  Allowed Hedge Recovery From Ln 55  below.</v>
      </c>
      <c r="C53" s="343"/>
      <c r="D53" s="339"/>
      <c r="E53" s="344">
        <f>+E82</f>
        <v>-1279141</v>
      </c>
      <c r="F53" s="340"/>
      <c r="G53" s="340"/>
      <c r="H53" s="340"/>
      <c r="I53" s="340"/>
      <c r="J53" s="340"/>
      <c r="K53" s="340"/>
      <c r="L53" s="340"/>
    </row>
    <row r="54" spans="1:12">
      <c r="A54" s="336">
        <f t="shared" si="11"/>
        <v>33</v>
      </c>
      <c r="B54" s="341" t="s">
        <v>906</v>
      </c>
      <c r="C54" s="345"/>
      <c r="D54" s="346"/>
      <c r="E54" s="148">
        <v>906758.76</v>
      </c>
      <c r="F54" s="340"/>
      <c r="G54" s="340"/>
      <c r="H54" s="340"/>
      <c r="I54" s="340"/>
      <c r="J54" s="340"/>
    </row>
    <row r="55" spans="1:12">
      <c r="A55" s="336">
        <f t="shared" si="11"/>
        <v>34</v>
      </c>
      <c r="B55" s="341" t="s">
        <v>907</v>
      </c>
      <c r="C55" s="347"/>
      <c r="D55" s="339"/>
      <c r="E55" s="148">
        <v>785014.92</v>
      </c>
      <c r="F55" s="340"/>
      <c r="G55" s="340"/>
      <c r="H55" s="340"/>
      <c r="I55" s="340" t="s">
        <v>1102</v>
      </c>
      <c r="J55" s="340"/>
    </row>
    <row r="56" spans="1:12">
      <c r="A56" s="336">
        <f t="shared" si="11"/>
        <v>35</v>
      </c>
      <c r="B56" s="341" t="s">
        <v>908</v>
      </c>
      <c r="C56" s="347"/>
      <c r="D56" s="339"/>
      <c r="E56" s="148">
        <v>0</v>
      </c>
      <c r="F56" s="340"/>
      <c r="G56" s="340"/>
      <c r="H56" s="340"/>
      <c r="I56" s="608">
        <v>-908166.69</v>
      </c>
      <c r="J56" s="340"/>
    </row>
    <row r="57" spans="1:12">
      <c r="A57" s="336">
        <f t="shared" si="11"/>
        <v>36</v>
      </c>
      <c r="B57" s="341" t="s">
        <v>909</v>
      </c>
      <c r="C57" s="347"/>
      <c r="D57" s="339"/>
      <c r="E57" s="148">
        <v>0</v>
      </c>
      <c r="F57" s="340"/>
      <c r="G57" s="340"/>
      <c r="H57" s="340"/>
      <c r="I57" s="340"/>
      <c r="J57" s="340"/>
    </row>
    <row r="58" spans="1:12">
      <c r="A58" s="336">
        <f t="shared" si="11"/>
        <v>37</v>
      </c>
      <c r="B58" s="337" t="str">
        <f>"Total Interest Expense (Ln "&amp;A51&amp;" - "&amp;A52&amp;" + "&amp;A54&amp;" + "&amp;A55&amp;" - "&amp;A56&amp;" - "&amp;A57&amp;")"</f>
        <v>Total Interest Expense (Ln 30 - 31 + 33 + 34 - 35 - 36)</v>
      </c>
      <c r="C58" s="348"/>
      <c r="D58" s="349"/>
      <c r="E58" s="378">
        <f>+E51-E52+E53+E54+E55-E56-E57</f>
        <v>60461431.68</v>
      </c>
      <c r="F58" s="340"/>
      <c r="G58" s="340"/>
      <c r="H58" s="340"/>
      <c r="I58" s="340"/>
      <c r="J58" s="340"/>
    </row>
    <row r="59" spans="1:12" ht="13.5" thickBot="1">
      <c r="A59" s="336"/>
      <c r="B59" s="351"/>
      <c r="C59" s="347"/>
      <c r="D59" s="339"/>
      <c r="E59" s="350"/>
      <c r="F59" s="340"/>
      <c r="G59" s="340"/>
      <c r="H59" s="340"/>
      <c r="I59" s="340"/>
      <c r="J59" s="340"/>
    </row>
    <row r="60" spans="1:12" ht="13.5" thickBot="1">
      <c r="A60" s="336">
        <f>+A58+1</f>
        <v>38</v>
      </c>
      <c r="B60" s="337" t="str">
        <f>"Average Cost of Debt for "&amp;'PSO TCOS'!N2&amp;" (Ln "&amp;A58&amp;"/ ln "&amp;A43&amp;" (g))"</f>
        <v>Average Cost of Debt for 2018 (Ln 37/ ln 28 (g))</v>
      </c>
      <c r="C60" s="348"/>
      <c r="D60" s="339"/>
      <c r="E60" s="352">
        <f>IF(ISERROR(+E58/H43),0,E58/H43)</f>
        <v>4.6781018729819407E-2</v>
      </c>
      <c r="F60" s="340"/>
      <c r="G60" s="340"/>
      <c r="H60" s="340"/>
      <c r="I60" s="340"/>
      <c r="J60" s="340"/>
    </row>
    <row r="61" spans="1:12">
      <c r="A61" s="353"/>
      <c r="B61" s="351"/>
      <c r="C61" s="347"/>
      <c r="D61" s="339"/>
      <c r="E61" s="347"/>
      <c r="F61" s="340"/>
      <c r="G61" s="340"/>
      <c r="H61" s="340"/>
      <c r="I61" s="340"/>
      <c r="J61" s="340"/>
    </row>
    <row r="62" spans="1:12" s="357" customFormat="1" ht="28.5" customHeight="1">
      <c r="A62" s="354"/>
      <c r="B62" s="2513" t="s">
        <v>1322</v>
      </c>
      <c r="C62" s="2513"/>
      <c r="D62" s="2513"/>
      <c r="E62" s="2513"/>
      <c r="F62" s="355"/>
      <c r="G62" s="356"/>
    </row>
    <row r="63" spans="1:12" s="357" customFormat="1" ht="65.25" customHeight="1">
      <c r="A63" s="380">
        <f>+A60+1</f>
        <v>39</v>
      </c>
      <c r="B63" s="2510" t="s">
        <v>1323</v>
      </c>
      <c r="C63" s="2510"/>
      <c r="D63" s="2510"/>
      <c r="E63" s="2510"/>
      <c r="F63" s="2510"/>
      <c r="G63" s="2510"/>
      <c r="H63" s="2510"/>
    </row>
    <row r="64" spans="1:12" s="357" customFormat="1" ht="12" customHeight="1">
      <c r="A64" s="354"/>
      <c r="B64" s="358"/>
      <c r="C64" s="358"/>
      <c r="D64" s="358"/>
      <c r="E64" s="358"/>
      <c r="F64" s="356"/>
      <c r="G64" s="2514" t="s">
        <v>1324</v>
      </c>
      <c r="H64" s="2514"/>
    </row>
    <row r="65" spans="1:10" s="357" customFormat="1" ht="52.5" customHeight="1">
      <c r="A65" s="336"/>
      <c r="B65" s="360" t="s">
        <v>1325</v>
      </c>
      <c r="C65" s="361" t="str">
        <f>"Total Hedge (Gain)/Loss for "&amp;'PSO TCOS'!N2</f>
        <v>Total Hedge (Gain)/Loss for 2018</v>
      </c>
      <c r="D65" s="361" t="str">
        <f>"Less Excludable Amounts (See NOTE on Line "&amp;A63&amp;")"</f>
        <v>Less Excludable Amounts (See NOTE on Line 39)</v>
      </c>
      <c r="E65" s="361" t="s">
        <v>1326</v>
      </c>
      <c r="F65" s="361" t="s">
        <v>1327</v>
      </c>
      <c r="G65" s="361" t="s">
        <v>464</v>
      </c>
      <c r="H65" s="361" t="s">
        <v>466</v>
      </c>
    </row>
    <row r="66" spans="1:10" s="357" customFormat="1" ht="12.75" customHeight="1">
      <c r="A66" s="336">
        <f>+A63+1</f>
        <v>40</v>
      </c>
      <c r="B66" s="382" t="s">
        <v>1515</v>
      </c>
      <c r="C66" s="383">
        <v>-1279141</v>
      </c>
      <c r="D66" s="148">
        <v>0</v>
      </c>
      <c r="E66" s="362">
        <f>+C66-D66</f>
        <v>-1279141</v>
      </c>
      <c r="F66" s="148">
        <v>0</v>
      </c>
      <c r="G66" s="148">
        <v>0</v>
      </c>
      <c r="H66" s="148">
        <v>0</v>
      </c>
      <c r="I66" s="363"/>
      <c r="J66" s="363"/>
    </row>
    <row r="67" spans="1:10" s="357" customFormat="1" ht="12.75" customHeight="1">
      <c r="A67" s="336">
        <f t="shared" ref="A67:A76" si="12">+A66+1</f>
        <v>41</v>
      </c>
      <c r="B67" s="382"/>
      <c r="C67" s="383"/>
      <c r="D67" s="148">
        <v>0</v>
      </c>
      <c r="E67" s="362">
        <f t="shared" ref="E67:E74" si="13">+C67-D67</f>
        <v>0</v>
      </c>
      <c r="F67" s="148"/>
      <c r="G67" s="148"/>
      <c r="H67" s="148"/>
    </row>
    <row r="68" spans="1:10" s="357" customFormat="1" ht="12.75" customHeight="1">
      <c r="A68" s="336">
        <f t="shared" si="12"/>
        <v>42</v>
      </c>
      <c r="B68" s="148"/>
      <c r="C68" s="148"/>
      <c r="D68" s="148"/>
      <c r="E68" s="362">
        <f t="shared" si="13"/>
        <v>0</v>
      </c>
      <c r="F68" s="148"/>
      <c r="G68" s="148"/>
      <c r="H68" s="148"/>
    </row>
    <row r="69" spans="1:10" s="357" customFormat="1" ht="12.75" customHeight="1">
      <c r="A69" s="336">
        <f t="shared" si="12"/>
        <v>43</v>
      </c>
      <c r="B69" s="148"/>
      <c r="C69" s="148"/>
      <c r="D69" s="148"/>
      <c r="E69" s="362">
        <f t="shared" si="13"/>
        <v>0</v>
      </c>
      <c r="F69" s="148"/>
      <c r="G69" s="148"/>
      <c r="H69" s="148"/>
    </row>
    <row r="70" spans="1:10" s="357" customFormat="1" ht="12.75" customHeight="1">
      <c r="A70" s="336">
        <f t="shared" si="12"/>
        <v>44</v>
      </c>
      <c r="B70" s="148"/>
      <c r="C70" s="148"/>
      <c r="D70" s="148"/>
      <c r="E70" s="362">
        <f t="shared" si="13"/>
        <v>0</v>
      </c>
      <c r="F70" s="148"/>
      <c r="G70" s="148"/>
      <c r="H70" s="148"/>
    </row>
    <row r="71" spans="1:10" s="357" customFormat="1" ht="12.75" customHeight="1">
      <c r="A71" s="336">
        <f t="shared" si="12"/>
        <v>45</v>
      </c>
      <c r="B71" s="148"/>
      <c r="C71" s="148"/>
      <c r="D71" s="148"/>
      <c r="E71" s="362">
        <f t="shared" si="13"/>
        <v>0</v>
      </c>
      <c r="F71" s="148"/>
      <c r="G71" s="148"/>
      <c r="H71" s="148"/>
    </row>
    <row r="72" spans="1:10" s="357" customFormat="1" ht="12.75" customHeight="1">
      <c r="A72" s="336">
        <f t="shared" si="12"/>
        <v>46</v>
      </c>
      <c r="B72" s="148"/>
      <c r="C72" s="148"/>
      <c r="D72" s="148"/>
      <c r="E72" s="362">
        <f t="shared" si="13"/>
        <v>0</v>
      </c>
      <c r="F72" s="148"/>
      <c r="G72" s="148"/>
      <c r="H72" s="148"/>
    </row>
    <row r="73" spans="1:10" s="357" customFormat="1" ht="12.75" customHeight="1">
      <c r="A73" s="336">
        <f t="shared" si="12"/>
        <v>47</v>
      </c>
      <c r="B73" s="148"/>
      <c r="C73" s="148"/>
      <c r="D73" s="148"/>
      <c r="E73" s="362">
        <f t="shared" si="13"/>
        <v>0</v>
      </c>
      <c r="F73" s="148"/>
      <c r="G73" s="148"/>
      <c r="H73" s="148"/>
    </row>
    <row r="74" spans="1:10" s="357" customFormat="1" ht="12.75" customHeight="1">
      <c r="A74" s="336">
        <f t="shared" si="12"/>
        <v>48</v>
      </c>
      <c r="B74" s="148"/>
      <c r="C74" s="148"/>
      <c r="D74" s="148"/>
      <c r="E74" s="362">
        <f t="shared" si="13"/>
        <v>0</v>
      </c>
      <c r="F74" s="148"/>
      <c r="G74" s="148"/>
      <c r="H74" s="148"/>
    </row>
    <row r="75" spans="1:10" s="357" customFormat="1" ht="12.75" customHeight="1">
      <c r="A75" s="336">
        <f t="shared" si="12"/>
        <v>49</v>
      </c>
      <c r="B75" s="364"/>
      <c r="C75" s="365"/>
      <c r="D75" s="365"/>
      <c r="E75" s="366"/>
      <c r="F75" s="362">
        <f>SUM(F66:F74)</f>
        <v>0</v>
      </c>
      <c r="G75" s="356"/>
    </row>
    <row r="76" spans="1:10" s="357" customFormat="1" ht="12.75" customHeight="1">
      <c r="A76" s="336">
        <f t="shared" si="12"/>
        <v>50</v>
      </c>
      <c r="B76" s="351" t="s">
        <v>173</v>
      </c>
      <c r="C76" s="350">
        <f>SUM(C66:C74)</f>
        <v>-1279141</v>
      </c>
      <c r="D76" s="350">
        <f>SUM(D66:D74)</f>
        <v>0</v>
      </c>
      <c r="F76" s="356"/>
      <c r="G76" s="356"/>
    </row>
    <row r="77" spans="1:10" s="357" customFormat="1" ht="21" customHeight="1">
      <c r="A77" s="336"/>
      <c r="B77" s="351"/>
      <c r="C77" s="350"/>
      <c r="D77" s="350"/>
      <c r="E77" s="350"/>
      <c r="F77" s="356"/>
      <c r="G77" s="356"/>
    </row>
    <row r="78" spans="1:10" s="357" customFormat="1" ht="14.25" customHeight="1">
      <c r="A78" s="336">
        <f>+A76+1</f>
        <v>51</v>
      </c>
      <c r="B78" s="351" t="str">
        <f>"Hedge Gain or Loss Prior to Application of Recovery Limit (Sum of Lines "&amp;A66&amp;" to "&amp;A74&amp;")"</f>
        <v>Hedge Gain or Loss Prior to Application of Recovery Limit (Sum of Lines 40 to 48)</v>
      </c>
      <c r="C78" s="350"/>
      <c r="D78" s="350"/>
      <c r="E78" s="350">
        <f>SUM(E66:E74)</f>
        <v>-1279141</v>
      </c>
      <c r="F78" s="356"/>
      <c r="G78" s="356"/>
    </row>
    <row r="79" spans="1:10" s="357" customFormat="1" ht="12.75" customHeight="1">
      <c r="A79" s="336">
        <f>+A78+1</f>
        <v>52</v>
      </c>
      <c r="B79" s="367" t="str">
        <f>"Total Average Capital Structure Balance for "&amp;'PSO TCOS'!N2&amp;" (TCOS, Ln "&amp;'PSO TCOS'!B238&amp;")"</f>
        <v>Total Average Capital Structure Balance for 2018 (TCOS, Ln 144)</v>
      </c>
      <c r="C79" s="347"/>
      <c r="D79" s="339"/>
      <c r="E79" s="368">
        <f>+'PSO TCOS'!E238</f>
        <v>2521815200.5890002</v>
      </c>
      <c r="F79" s="356"/>
      <c r="G79" s="356"/>
      <c r="H79" s="369"/>
    </row>
    <row r="80" spans="1:10" s="357" customFormat="1" ht="12.75" customHeight="1">
      <c r="A80" s="336">
        <f>+A79+1</f>
        <v>53</v>
      </c>
      <c r="B80" s="351" t="s">
        <v>174</v>
      </c>
      <c r="C80" s="347"/>
      <c r="D80" s="339"/>
      <c r="E80" s="370">
        <v>5.0000000000000001E-4</v>
      </c>
      <c r="F80" s="356"/>
      <c r="G80" s="371"/>
    </row>
    <row r="81" spans="1:7" s="357" customFormat="1" ht="12.75" customHeight="1" thickBot="1">
      <c r="A81" s="336">
        <f>+A80+1</f>
        <v>54</v>
      </c>
      <c r="B81" s="351" t="s">
        <v>175</v>
      </c>
      <c r="C81" s="347"/>
      <c r="D81" s="339"/>
      <c r="E81" s="372">
        <f>+E79*E80</f>
        <v>1260907.6002945001</v>
      </c>
      <c r="F81" s="356"/>
      <c r="G81" s="356"/>
    </row>
    <row r="82" spans="1:7" s="357" customFormat="1" ht="12.75" customHeight="1" thickBot="1">
      <c r="A82" s="336">
        <f>+A81+1</f>
        <v>55</v>
      </c>
      <c r="B82" s="337" t="str">
        <f>"Recoverable Hedge Amortization (Lesser of Ln "&amp;A78&amp;" or Ln "&amp;A81&amp;")"</f>
        <v>Recoverable Hedge Amortization (Lesser of Ln 51 or Ln 54)</v>
      </c>
      <c r="C82" s="347"/>
      <c r="D82" s="339"/>
      <c r="E82" s="373">
        <f>+IF(E81&lt;E78,E81,E78)</f>
        <v>-1279141</v>
      </c>
      <c r="F82" s="356"/>
      <c r="G82" s="356"/>
    </row>
    <row r="83" spans="1:7" s="357" customFormat="1" ht="12.75" customHeight="1">
      <c r="A83" s="336"/>
      <c r="B83" s="351"/>
      <c r="C83" s="347"/>
      <c r="D83" s="339"/>
      <c r="E83" s="347"/>
      <c r="F83" s="356"/>
      <c r="G83" s="356"/>
    </row>
    <row r="84" spans="1:7" s="357" customFormat="1" ht="12.75" customHeight="1">
      <c r="A84" s="374" t="s">
        <v>176</v>
      </c>
      <c r="B84" s="375"/>
      <c r="C84" s="347"/>
      <c r="D84" s="339"/>
      <c r="E84" s="347"/>
      <c r="F84" s="356"/>
      <c r="G84" s="356"/>
    </row>
    <row r="85" spans="1:7" s="357" customFormat="1" ht="12.75" customHeight="1">
      <c r="A85" s="359"/>
      <c r="B85" s="339"/>
      <c r="C85" s="338"/>
      <c r="D85" s="338"/>
      <c r="E85" s="356"/>
      <c r="F85" s="356"/>
      <c r="G85" s="356"/>
    </row>
    <row r="86" spans="1:7" s="357" customFormat="1" ht="12.75" customHeight="1">
      <c r="A86" s="336">
        <f>+A82+1</f>
        <v>56</v>
      </c>
      <c r="B86" s="339" t="str">
        <f>"13 Month Average Balance of Preferred Stock (Ln "&amp;A24&amp;" Col. "&amp;D9&amp;")"</f>
        <v>13 Month Average Balance of Preferred Stock (Ln 14 Col. (c))</v>
      </c>
      <c r="C86"/>
      <c r="D86"/>
      <c r="E86" s="376">
        <f>+D24</f>
        <v>0</v>
      </c>
      <c r="F86" s="339"/>
      <c r="G86" s="356"/>
    </row>
    <row r="87" spans="1:7" s="357" customFormat="1" ht="12.75" customHeight="1" thickBot="1">
      <c r="A87" s="336">
        <f>+A86+1</f>
        <v>57</v>
      </c>
      <c r="B87" s="339" t="s">
        <v>1328</v>
      </c>
      <c r="C87"/>
      <c r="D87"/>
      <c r="E87" s="148">
        <v>0</v>
      </c>
      <c r="F87" s="356"/>
      <c r="G87" s="356"/>
    </row>
    <row r="88" spans="1:7" s="357" customFormat="1" ht="12.75" customHeight="1" thickBot="1">
      <c r="A88" s="336">
        <f>+A87+1</f>
        <v>58</v>
      </c>
      <c r="B88" s="379" t="str">
        <f>"Average Cost of Preferred Stock (Ln "&amp;A87&amp;"/ Ln "&amp;A86&amp;")"</f>
        <v>Average Cost of Preferred Stock (Ln 57/ Ln 56)</v>
      </c>
      <c r="C88"/>
      <c r="D88"/>
      <c r="E88" s="352">
        <f>IF(E86=0,0,+E87/E86)</f>
        <v>0</v>
      </c>
      <c r="F88" s="356"/>
      <c r="G88" s="356"/>
    </row>
    <row r="89" spans="1:7">
      <c r="C89"/>
      <c r="D89"/>
    </row>
    <row r="130" spans="7:7">
      <c r="G130" s="292" t="s">
        <v>256</v>
      </c>
    </row>
    <row r="147" spans="7:12">
      <c r="G147" s="377"/>
      <c r="L147" s="377"/>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topLeftCell="A40" zoomScaleNormal="100" workbookViewId="0">
      <selection activeCell="P62" sqref="P62"/>
    </sheetView>
  </sheetViews>
  <sheetFormatPr defaultColWidth="9.140625" defaultRowHeight="12.75"/>
  <cols>
    <col min="1" max="1" width="1.7109375" style="916" customWidth="1"/>
    <col min="2" max="2" width="25.140625" style="916" customWidth="1"/>
    <col min="3" max="3" width="1.7109375" style="916" customWidth="1"/>
    <col min="4" max="4" width="21.28515625" style="916" customWidth="1"/>
    <col min="5" max="5" width="1.7109375" style="916" customWidth="1"/>
    <col min="6" max="6" width="22.28515625" style="916" customWidth="1"/>
    <col min="7" max="7" width="1.7109375" style="916" customWidth="1"/>
    <col min="8" max="8" width="17.28515625" style="916" customWidth="1"/>
    <col min="9" max="9" width="1.7109375" style="916" customWidth="1"/>
    <col min="10" max="10" width="15.5703125" style="916" customWidth="1"/>
    <col min="11" max="11" width="1.7109375" style="916" customWidth="1"/>
    <col min="12" max="12" width="15.85546875" style="916" customWidth="1"/>
    <col min="13" max="13" width="1.7109375" style="916" customWidth="1"/>
    <col min="14" max="14" width="13.5703125" style="916" customWidth="1"/>
    <col min="15" max="15" width="1.7109375" style="916" customWidth="1"/>
    <col min="16" max="16" width="14.140625" style="916" customWidth="1"/>
    <col min="17" max="17" width="1.7109375" style="916" customWidth="1"/>
    <col min="18" max="18" width="14.42578125" style="916" customWidth="1"/>
    <col min="19" max="19" width="7.7109375" style="916" bestFit="1" customWidth="1"/>
    <col min="20" max="20" width="3" style="916" hidden="1" customWidth="1"/>
    <col min="21" max="16384" width="9.140625" style="916"/>
  </cols>
  <sheetData>
    <row r="1" spans="1:18" ht="15">
      <c r="A1" s="1641" t="s">
        <v>1282</v>
      </c>
    </row>
    <row r="2" spans="1:18" ht="15.75">
      <c r="A2" s="1642"/>
    </row>
    <row r="3" spans="1:18" ht="15.75">
      <c r="A3" s="1642"/>
    </row>
    <row r="4" spans="1:18" ht="15.75">
      <c r="B4" s="2522" t="s">
        <v>878</v>
      </c>
      <c r="C4" s="2522"/>
      <c r="D4" s="2522"/>
      <c r="E4" s="2522"/>
      <c r="F4" s="2522"/>
      <c r="G4" s="2522"/>
      <c r="H4" s="2522"/>
      <c r="I4" s="2522"/>
      <c r="J4" s="2522"/>
      <c r="K4" s="2522"/>
      <c r="L4" s="2522"/>
      <c r="M4" s="2522"/>
      <c r="N4" s="2522"/>
      <c r="O4" s="2522"/>
      <c r="P4" s="2522"/>
      <c r="Q4" s="2522"/>
      <c r="R4" s="2522"/>
    </row>
    <row r="5" spans="1:18" ht="15.75">
      <c r="B5" s="2523" t="str">
        <f>+'PSO WS A-1 - Plant'!A3</f>
        <v xml:space="preserve">Actual / Projected 2018 Rate Year Cost of Service Formula Rate </v>
      </c>
      <c r="C5" s="2523"/>
      <c r="D5" s="2523"/>
      <c r="E5" s="2523"/>
      <c r="F5" s="2523"/>
      <c r="G5" s="2523"/>
      <c r="H5" s="2523"/>
      <c r="I5" s="2523"/>
      <c r="J5" s="2523"/>
      <c r="K5" s="2523"/>
      <c r="L5" s="2523"/>
      <c r="M5" s="2523"/>
      <c r="N5" s="2523"/>
      <c r="O5" s="2523"/>
      <c r="P5" s="2523"/>
      <c r="Q5" s="2523"/>
      <c r="R5" s="2523"/>
    </row>
    <row r="6" spans="1:18" ht="15.75">
      <c r="B6" s="2523" t="s">
        <v>1097</v>
      </c>
      <c r="C6" s="2523"/>
      <c r="D6" s="2523"/>
      <c r="E6" s="2523"/>
      <c r="F6" s="2523"/>
      <c r="G6" s="2523"/>
      <c r="H6" s="2523"/>
      <c r="I6" s="2523"/>
      <c r="J6" s="2523"/>
      <c r="K6" s="2523"/>
      <c r="L6" s="2523"/>
      <c r="M6" s="2523"/>
      <c r="N6" s="2523"/>
      <c r="O6" s="2523"/>
      <c r="P6" s="2523"/>
      <c r="Q6" s="2523"/>
      <c r="R6" s="2523"/>
    </row>
    <row r="7" spans="1:18" ht="15.75">
      <c r="B7" s="2479" t="str">
        <f>+'PSO TCOS'!F8</f>
        <v>PUBLIC SERVICE COMPANY OF OKLAHOMA</v>
      </c>
      <c r="C7" s="2523"/>
      <c r="D7" s="2523"/>
      <c r="E7" s="2523"/>
      <c r="F7" s="2523"/>
      <c r="G7" s="2523"/>
      <c r="H7" s="2523"/>
      <c r="I7" s="2523"/>
      <c r="J7" s="2523"/>
      <c r="K7" s="2523"/>
      <c r="L7" s="2523"/>
      <c r="M7" s="2523"/>
      <c r="N7" s="2523"/>
      <c r="O7" s="2523"/>
      <c r="P7" s="2523"/>
      <c r="Q7" s="2523"/>
      <c r="R7" s="2523"/>
    </row>
    <row r="8" spans="1:18" ht="16.5" thickBot="1">
      <c r="B8" s="1643"/>
      <c r="C8" s="1644"/>
      <c r="D8" s="1644"/>
      <c r="E8" s="1644"/>
      <c r="F8" s="1644"/>
      <c r="G8" s="1644"/>
      <c r="H8" s="1644"/>
      <c r="I8" s="1644"/>
      <c r="J8" s="1644"/>
      <c r="K8" s="1644"/>
      <c r="P8" s="1644"/>
      <c r="Q8" s="1644"/>
      <c r="R8" s="1644"/>
    </row>
    <row r="9" spans="1:18" ht="60.75" customHeight="1">
      <c r="B9" s="1645" t="str">
        <f>"True up Revenue Requirement For Year "&amp;J9&amp;" Available May, "&amp;J10&amp;" Net of Schedule 11 Revenue Credits"</f>
        <v>True up Revenue Requirement For Year 2018 Available May, 2019 Net of Schedule 11 Revenue Credits</v>
      </c>
      <c r="C9" s="1644"/>
      <c r="D9" s="1645" t="s">
        <v>1382</v>
      </c>
      <c r="E9" s="1646"/>
      <c r="F9" s="1647" t="s">
        <v>1098</v>
      </c>
      <c r="G9" s="926"/>
      <c r="H9" s="1648" t="s">
        <v>1099</v>
      </c>
      <c r="I9" s="1644"/>
      <c r="J9" s="1649">
        <v>2018</v>
      </c>
      <c r="K9" s="1644"/>
      <c r="P9" s="926"/>
      <c r="Q9" s="926"/>
      <c r="R9" s="926"/>
    </row>
    <row r="10" spans="1:18" ht="15.75">
      <c r="B10" s="1650" t="s">
        <v>256</v>
      </c>
      <c r="C10" s="1644"/>
      <c r="D10" s="1650"/>
      <c r="E10" s="1646"/>
      <c r="F10" s="1651"/>
      <c r="G10" s="926"/>
      <c r="H10" s="1652" t="s">
        <v>1100</v>
      </c>
      <c r="I10" s="1653"/>
      <c r="J10" s="1654">
        <f>J9+1</f>
        <v>2019</v>
      </c>
      <c r="P10" s="926"/>
      <c r="Q10" s="926"/>
      <c r="R10" s="926"/>
    </row>
    <row r="11" spans="1:18" ht="16.5" thickBot="1">
      <c r="B11" s="650">
        <f>+'Zonal Rates'!K23</f>
        <v>5985111.4543428477</v>
      </c>
      <c r="C11" s="651" t="s">
        <v>1101</v>
      </c>
      <c r="D11" s="650">
        <v>8204138.1220194846</v>
      </c>
      <c r="E11" s="652" t="s">
        <v>1102</v>
      </c>
      <c r="F11" s="653">
        <f>IF(B11=0,0,D11-B11)</f>
        <v>2219026.6676766369</v>
      </c>
      <c r="G11" s="1655"/>
      <c r="H11" s="1656" t="s">
        <v>1103</v>
      </c>
      <c r="I11" s="1657"/>
      <c r="J11" s="1658">
        <f>J10+1</f>
        <v>2020</v>
      </c>
      <c r="P11" s="926"/>
      <c r="Q11" s="926"/>
      <c r="R11" s="926"/>
    </row>
    <row r="12" spans="1:18" ht="15.75">
      <c r="B12" s="1657"/>
      <c r="C12" s="1659"/>
      <c r="D12" s="1657"/>
      <c r="E12" s="1657"/>
      <c r="F12" s="1657"/>
      <c r="G12" s="1657"/>
      <c r="H12" s="926"/>
      <c r="I12" s="926"/>
      <c r="P12" s="926"/>
      <c r="Q12" s="926"/>
      <c r="R12" s="926"/>
    </row>
    <row r="13" spans="1:18" ht="16.5" thickBot="1">
      <c r="B13" s="1660"/>
      <c r="C13" s="1661"/>
      <c r="D13" s="1660"/>
      <c r="E13" s="1660"/>
      <c r="F13" s="1660"/>
      <c r="G13" s="1660"/>
      <c r="H13" s="1660"/>
      <c r="I13" s="1660"/>
      <c r="J13" s="1660"/>
      <c r="K13" s="1660"/>
      <c r="L13" s="1660"/>
      <c r="M13" s="1660"/>
      <c r="N13" s="1662"/>
      <c r="O13" s="1662"/>
      <c r="P13" s="1662"/>
      <c r="Q13" s="1662"/>
      <c r="R13" s="1662"/>
    </row>
    <row r="14" spans="1:18" ht="15.75">
      <c r="B14" s="1663"/>
      <c r="C14" s="1659"/>
      <c r="D14" s="1657"/>
      <c r="E14" s="1657"/>
      <c r="F14" s="1657"/>
      <c r="G14" s="1657"/>
      <c r="H14" s="1657"/>
      <c r="I14" s="1657"/>
      <c r="J14" s="1657"/>
      <c r="K14" s="1657"/>
      <c r="L14" s="1657"/>
      <c r="M14" s="1657"/>
      <c r="N14" s="926"/>
      <c r="O14" s="926"/>
      <c r="P14" s="926"/>
      <c r="Q14" s="926"/>
      <c r="R14" s="926"/>
    </row>
    <row r="15" spans="1:18" ht="63">
      <c r="B15" s="1664" t="s">
        <v>1104</v>
      </c>
      <c r="C15" s="1659"/>
      <c r="D15" s="1665" t="s">
        <v>1105</v>
      </c>
      <c r="E15" s="1665"/>
      <c r="F15" s="1665" t="s">
        <v>1106</v>
      </c>
      <c r="G15" s="1665"/>
      <c r="H15" s="1665" t="s">
        <v>1107</v>
      </c>
      <c r="I15" s="1657"/>
      <c r="J15" s="1666" t="s">
        <v>1108</v>
      </c>
      <c r="K15" s="1657"/>
      <c r="L15" s="1665" t="s">
        <v>1358</v>
      </c>
      <c r="M15" s="1667"/>
      <c r="N15" s="1666" t="s">
        <v>1109</v>
      </c>
      <c r="O15" s="1666"/>
      <c r="P15" s="1665" t="s">
        <v>1110</v>
      </c>
      <c r="Q15" s="1668"/>
      <c r="R15" s="1665" t="s">
        <v>1111</v>
      </c>
    </row>
    <row r="16" spans="1:18" ht="15.75">
      <c r="B16" s="1669"/>
      <c r="C16" s="1659"/>
      <c r="D16" s="926"/>
      <c r="E16" s="926"/>
      <c r="F16" s="926"/>
      <c r="G16" s="926"/>
      <c r="H16" s="926"/>
      <c r="I16" s="1670"/>
      <c r="J16" s="1670"/>
      <c r="K16" s="1670"/>
      <c r="N16" s="926"/>
      <c r="O16" s="926"/>
      <c r="P16" s="926"/>
      <c r="Q16" s="926"/>
      <c r="R16" s="926"/>
    </row>
    <row r="17" spans="2:20" ht="15.75">
      <c r="B17" s="1671" t="s">
        <v>1112</v>
      </c>
      <c r="C17" s="1659"/>
      <c r="D17" s="1659"/>
      <c r="E17" s="1659"/>
      <c r="F17" s="1659"/>
      <c r="G17" s="1659"/>
      <c r="H17" s="1659"/>
      <c r="I17" s="1659"/>
      <c r="J17" s="1659"/>
      <c r="K17" s="1659"/>
      <c r="L17" s="926"/>
      <c r="M17" s="926"/>
      <c r="N17" s="1667"/>
      <c r="O17" s="1667"/>
      <c r="P17" s="1659"/>
      <c r="Q17" s="1659"/>
      <c r="R17" s="1659"/>
    </row>
    <row r="18" spans="2:20" ht="15.75">
      <c r="B18" s="1672" t="s">
        <v>128</v>
      </c>
      <c r="C18" s="1659"/>
      <c r="D18" s="1659"/>
      <c r="E18" s="1659"/>
      <c r="F18" s="1659"/>
      <c r="G18" s="1659"/>
      <c r="H18" s="1659"/>
      <c r="I18" s="1659"/>
      <c r="J18" s="1659"/>
      <c r="K18" s="1659"/>
      <c r="L18" s="926"/>
      <c r="M18" s="926"/>
      <c r="N18" s="1667"/>
      <c r="O18" s="1667"/>
      <c r="P18" s="1659"/>
      <c r="Q18" s="1659"/>
      <c r="R18" s="1659"/>
    </row>
    <row r="19" spans="2:20" ht="15.75">
      <c r="B19" s="1673">
        <f t="shared" ref="B19:B30" si="0">DATE($J$9,T19,1)</f>
        <v>43101</v>
      </c>
      <c r="C19" s="1644"/>
      <c r="D19" s="639">
        <f>F11/12</f>
        <v>184918.88897305308</v>
      </c>
      <c r="E19" s="640"/>
      <c r="F19" s="639">
        <v>0</v>
      </c>
      <c r="G19" s="639"/>
      <c r="H19" s="639">
        <v>0</v>
      </c>
      <c r="I19" s="639"/>
      <c r="J19" s="639">
        <f>F19+H19</f>
        <v>0</v>
      </c>
      <c r="K19" s="640"/>
      <c r="L19" s="641">
        <f>+'PSO WS Q Interest Rate'!E13</f>
        <v>3.5999999999999999E-3</v>
      </c>
      <c r="M19" s="642"/>
      <c r="N19" s="639">
        <f t="shared" ref="N19:N30" si="1">J19*L19</f>
        <v>0</v>
      </c>
      <c r="O19" s="639"/>
      <c r="P19" s="639"/>
      <c r="Q19" s="639"/>
      <c r="R19" s="639">
        <f>D19+N19</f>
        <v>184918.88897305308</v>
      </c>
      <c r="T19" s="916">
        <v>1</v>
      </c>
    </row>
    <row r="20" spans="2:20" ht="15.75">
      <c r="B20" s="1673">
        <f t="shared" si="0"/>
        <v>43132</v>
      </c>
      <c r="C20" s="1644"/>
      <c r="D20" s="639">
        <f>+D19</f>
        <v>184918.88897305308</v>
      </c>
      <c r="E20" s="640"/>
      <c r="F20" s="639">
        <f>D19</f>
        <v>184918.88897305308</v>
      </c>
      <c r="G20" s="639"/>
      <c r="H20" s="639">
        <v>0</v>
      </c>
      <c r="I20" s="639"/>
      <c r="J20" s="639">
        <f t="shared" ref="J20:J29" si="2">F20+H20</f>
        <v>184918.88897305308</v>
      </c>
      <c r="K20" s="640"/>
      <c r="L20" s="641">
        <f>+'PSO WS Q Interest Rate'!E14</f>
        <v>3.3E-3</v>
      </c>
      <c r="M20" s="642"/>
      <c r="N20" s="639">
        <f t="shared" si="1"/>
        <v>610.23233361107521</v>
      </c>
      <c r="O20" s="639"/>
      <c r="P20" s="639"/>
      <c r="Q20" s="639"/>
      <c r="R20" s="639">
        <f>SUM($D$19:D20)+SUM($N$19:N20)</f>
        <v>370448.01027971721</v>
      </c>
      <c r="T20" s="916">
        <v>2</v>
      </c>
    </row>
    <row r="21" spans="2:20" ht="15.75">
      <c r="B21" s="1673">
        <f t="shared" si="0"/>
        <v>43160</v>
      </c>
      <c r="C21" s="1644"/>
      <c r="D21" s="639">
        <f>+D20</f>
        <v>184918.88897305308</v>
      </c>
      <c r="E21" s="640"/>
      <c r="F21" s="639">
        <f>D20+F20</f>
        <v>369837.77794610616</v>
      </c>
      <c r="G21" s="639"/>
      <c r="H21" s="639">
        <v>0</v>
      </c>
      <c r="I21" s="639"/>
      <c r="J21" s="639">
        <f t="shared" si="2"/>
        <v>369837.77794610616</v>
      </c>
      <c r="K21" s="640"/>
      <c r="L21" s="641">
        <f>+'PSO WS Q Interest Rate'!E15</f>
        <v>3.5999999999999999E-3</v>
      </c>
      <c r="M21" s="642"/>
      <c r="N21" s="639">
        <f t="shared" si="1"/>
        <v>1331.4160006059822</v>
      </c>
      <c r="O21" s="639"/>
      <c r="P21" s="639"/>
      <c r="Q21" s="639"/>
      <c r="R21" s="639">
        <f>SUM($D$19:D21)+SUM($N$19:N21)</f>
        <v>556698.31525337626</v>
      </c>
      <c r="T21" s="916">
        <v>3</v>
      </c>
    </row>
    <row r="22" spans="2:20" ht="15.75">
      <c r="B22" s="1673">
        <f t="shared" si="0"/>
        <v>43191</v>
      </c>
      <c r="C22" s="1644"/>
      <c r="D22" s="639">
        <f>+D21</f>
        <v>184918.88897305308</v>
      </c>
      <c r="E22" s="640"/>
      <c r="F22" s="639">
        <f t="shared" ref="F22:F28" si="3">D21+F21</f>
        <v>554756.66691915924</v>
      </c>
      <c r="G22" s="639"/>
      <c r="H22" s="639">
        <f>SUM($N$19:$N$21)</f>
        <v>1941.6483342170573</v>
      </c>
      <c r="I22" s="639"/>
      <c r="J22" s="639">
        <f t="shared" si="2"/>
        <v>556698.31525337626</v>
      </c>
      <c r="K22" s="640"/>
      <c r="L22" s="641">
        <f>+'PSO WS Q Interest Rate'!E16</f>
        <v>3.7000000000000002E-3</v>
      </c>
      <c r="M22" s="642"/>
      <c r="N22" s="639">
        <f t="shared" si="1"/>
        <v>2059.7837664374924</v>
      </c>
      <c r="O22" s="639"/>
      <c r="P22" s="639"/>
      <c r="Q22" s="639"/>
      <c r="R22" s="639">
        <f>SUM($D$19:D22)+SUM($N$19:N22)</f>
        <v>743676.9879928669</v>
      </c>
      <c r="T22" s="916">
        <v>4</v>
      </c>
    </row>
    <row r="23" spans="2:20" ht="15.75">
      <c r="B23" s="1673">
        <f t="shared" si="0"/>
        <v>43221</v>
      </c>
      <c r="C23" s="1644"/>
      <c r="D23" s="639">
        <f t="shared" ref="D23:D28" si="4">+D22</f>
        <v>184918.88897305308</v>
      </c>
      <c r="E23" s="640"/>
      <c r="F23" s="639">
        <f t="shared" si="3"/>
        <v>739675.55589221232</v>
      </c>
      <c r="G23" s="639"/>
      <c r="H23" s="639">
        <f t="shared" ref="H23:H24" si="5">SUM($N$19:$N$21)</f>
        <v>1941.6483342170573</v>
      </c>
      <c r="I23" s="639"/>
      <c r="J23" s="639">
        <f t="shared" si="2"/>
        <v>741617.20422642934</v>
      </c>
      <c r="K23" s="640"/>
      <c r="L23" s="641">
        <f>+'PSO WS Q Interest Rate'!E17</f>
        <v>3.8E-3</v>
      </c>
      <c r="M23" s="642"/>
      <c r="N23" s="639">
        <f t="shared" si="1"/>
        <v>2818.1453760604313</v>
      </c>
      <c r="O23" s="639"/>
      <c r="P23" s="639"/>
      <c r="Q23" s="639"/>
      <c r="R23" s="639">
        <f>SUM($D$19:D23)+SUM($N$19:N23)</f>
        <v>931414.02234198037</v>
      </c>
      <c r="T23" s="916">
        <v>5</v>
      </c>
    </row>
    <row r="24" spans="2:20" ht="15.75">
      <c r="B24" s="1673">
        <f t="shared" si="0"/>
        <v>43252</v>
      </c>
      <c r="C24" s="1644"/>
      <c r="D24" s="639">
        <f t="shared" si="4"/>
        <v>184918.88897305308</v>
      </c>
      <c r="E24" s="640"/>
      <c r="F24" s="639">
        <f t="shared" si="3"/>
        <v>924594.4448652654</v>
      </c>
      <c r="G24" s="639"/>
      <c r="H24" s="639">
        <f t="shared" si="5"/>
        <v>1941.6483342170573</v>
      </c>
      <c r="I24" s="639"/>
      <c r="J24" s="639">
        <f t="shared" si="2"/>
        <v>926536.09319948242</v>
      </c>
      <c r="K24" s="640"/>
      <c r="L24" s="641">
        <f>+'PSO WS Q Interest Rate'!E18</f>
        <v>3.7000000000000002E-3</v>
      </c>
      <c r="M24" s="642"/>
      <c r="N24" s="639">
        <f t="shared" si="1"/>
        <v>3428.1835448380853</v>
      </c>
      <c r="O24" s="639"/>
      <c r="P24" s="639"/>
      <c r="Q24" s="639"/>
      <c r="R24" s="639">
        <f>SUM($D$19:D24)+SUM($N$19:N24)</f>
        <v>1119761.0948598715</v>
      </c>
      <c r="T24" s="916">
        <v>6</v>
      </c>
    </row>
    <row r="25" spans="2:20" ht="15.75">
      <c r="B25" s="1673">
        <f t="shared" si="0"/>
        <v>43282</v>
      </c>
      <c r="C25" s="1644"/>
      <c r="D25" s="639">
        <f t="shared" si="4"/>
        <v>184918.88897305308</v>
      </c>
      <c r="E25" s="640"/>
      <c r="F25" s="639">
        <f t="shared" si="3"/>
        <v>1109513.3338383185</v>
      </c>
      <c r="G25" s="639"/>
      <c r="H25" s="639">
        <f>$H$24+SUM($N$22:$N$24)</f>
        <v>10247.761021553066</v>
      </c>
      <c r="I25" s="639"/>
      <c r="J25" s="639">
        <f t="shared" si="2"/>
        <v>1119761.0948598715</v>
      </c>
      <c r="K25" s="640"/>
      <c r="L25" s="641">
        <f>+'PSO WS Q Interest Rate'!E19</f>
        <v>4.0000000000000001E-3</v>
      </c>
      <c r="M25" s="642"/>
      <c r="N25" s="639">
        <f t="shared" si="1"/>
        <v>4479.044379439486</v>
      </c>
      <c r="O25" s="639"/>
      <c r="P25" s="639"/>
      <c r="Q25" s="639"/>
      <c r="R25" s="639">
        <f>SUM($D$19:D25)+SUM($N$19:N25)</f>
        <v>1309159.0282123641</v>
      </c>
      <c r="T25" s="916">
        <v>7</v>
      </c>
    </row>
    <row r="26" spans="2:20" ht="15.75">
      <c r="B26" s="1673">
        <f t="shared" si="0"/>
        <v>43313</v>
      </c>
      <c r="C26" s="1644"/>
      <c r="D26" s="639">
        <f t="shared" si="4"/>
        <v>184918.88897305308</v>
      </c>
      <c r="E26" s="640"/>
      <c r="F26" s="639">
        <f t="shared" si="3"/>
        <v>1294432.2228113716</v>
      </c>
      <c r="G26" s="639"/>
      <c r="H26" s="639">
        <f>$H$24+SUM($N$22:$N$24)</f>
        <v>10247.761021553066</v>
      </c>
      <c r="I26" s="639"/>
      <c r="J26" s="639">
        <f t="shared" si="2"/>
        <v>1304679.9838329246</v>
      </c>
      <c r="K26" s="640"/>
      <c r="L26" s="641">
        <f>+'PSO WS Q Interest Rate'!E20</f>
        <v>4.0000000000000001E-3</v>
      </c>
      <c r="M26" s="642"/>
      <c r="N26" s="639">
        <f t="shared" si="1"/>
        <v>5218.7199353316983</v>
      </c>
      <c r="O26" s="639"/>
      <c r="P26" s="639"/>
      <c r="Q26" s="639"/>
      <c r="R26" s="639">
        <f>SUM($D$19:D26)+SUM($N$19:N26)</f>
        <v>1499296.6371207489</v>
      </c>
      <c r="T26" s="916">
        <v>8</v>
      </c>
    </row>
    <row r="27" spans="2:20" ht="15.75">
      <c r="B27" s="1673">
        <f t="shared" si="0"/>
        <v>43344</v>
      </c>
      <c r="C27" s="1644"/>
      <c r="D27" s="639">
        <f t="shared" si="4"/>
        <v>184918.88897305308</v>
      </c>
      <c r="E27" s="640"/>
      <c r="F27" s="639">
        <f t="shared" si="3"/>
        <v>1479351.1117844246</v>
      </c>
      <c r="G27" s="639"/>
      <c r="H27" s="639">
        <f>$H$24+SUM($N$22:$N$24)</f>
        <v>10247.761021553066</v>
      </c>
      <c r="I27" s="639"/>
      <c r="J27" s="639">
        <f t="shared" si="2"/>
        <v>1489598.8728059777</v>
      </c>
      <c r="K27" s="640"/>
      <c r="L27" s="641">
        <f>+'PSO WS Q Interest Rate'!E21</f>
        <v>3.8999999999999998E-3</v>
      </c>
      <c r="M27" s="642"/>
      <c r="N27" s="639">
        <f t="shared" si="1"/>
        <v>5809.4356039433123</v>
      </c>
      <c r="O27" s="639"/>
      <c r="P27" s="639"/>
      <c r="Q27" s="639"/>
      <c r="R27" s="639">
        <f>SUM($D$19:D27)+SUM($N$19:N27)</f>
        <v>1690024.9616977454</v>
      </c>
      <c r="T27" s="916">
        <v>9</v>
      </c>
    </row>
    <row r="28" spans="2:20" ht="15.75">
      <c r="B28" s="1673">
        <f t="shared" si="0"/>
        <v>43374</v>
      </c>
      <c r="C28" s="1644"/>
      <c r="D28" s="639">
        <f t="shared" si="4"/>
        <v>184918.88897305308</v>
      </c>
      <c r="E28" s="640"/>
      <c r="F28" s="639">
        <f t="shared" si="3"/>
        <v>1664270.0007574777</v>
      </c>
      <c r="G28" s="639"/>
      <c r="H28" s="639">
        <f>$H$27+SUM($N$25:$N$27)</f>
        <v>25754.960940267563</v>
      </c>
      <c r="I28" s="639"/>
      <c r="J28" s="639">
        <f t="shared" si="2"/>
        <v>1690024.9616977454</v>
      </c>
      <c r="K28" s="640"/>
      <c r="L28" s="641">
        <f>+'PSO WS Q Interest Rate'!E22</f>
        <v>4.1999999999999997E-3</v>
      </c>
      <c r="M28" s="642"/>
      <c r="N28" s="639">
        <f t="shared" si="1"/>
        <v>7098.1048391305303</v>
      </c>
      <c r="O28" s="639"/>
      <c r="P28" s="639"/>
      <c r="Q28" s="639"/>
      <c r="R28" s="639">
        <f>SUM($D$19:D28)+SUM($N$19:N28)</f>
        <v>1882041.955509929</v>
      </c>
      <c r="T28" s="916">
        <v>10</v>
      </c>
    </row>
    <row r="29" spans="2:20" ht="15.75">
      <c r="B29" s="1673">
        <f t="shared" si="0"/>
        <v>43405</v>
      </c>
      <c r="C29" s="1644"/>
      <c r="D29" s="639">
        <f>+D28</f>
        <v>184918.88897305308</v>
      </c>
      <c r="E29" s="640"/>
      <c r="F29" s="639">
        <f>D28+F28</f>
        <v>1849188.8897305308</v>
      </c>
      <c r="G29" s="639"/>
      <c r="H29" s="639">
        <f>$H$27+SUM($N$25:$N$27)</f>
        <v>25754.960940267563</v>
      </c>
      <c r="I29" s="639"/>
      <c r="J29" s="639">
        <f t="shared" si="2"/>
        <v>1874943.8506707984</v>
      </c>
      <c r="K29" s="640"/>
      <c r="L29" s="641">
        <f>+'PSO WS Q Interest Rate'!E23</f>
        <v>4.1000000000000003E-3</v>
      </c>
      <c r="M29" s="642"/>
      <c r="N29" s="639">
        <f t="shared" si="1"/>
        <v>7687.2697877502742</v>
      </c>
      <c r="O29" s="639"/>
      <c r="P29" s="639"/>
      <c r="Q29" s="639"/>
      <c r="R29" s="639">
        <f>SUM($D$19:D29)+SUM($N$19:N29)</f>
        <v>2074648.1142707323</v>
      </c>
      <c r="T29" s="916">
        <v>11</v>
      </c>
    </row>
    <row r="30" spans="2:20" ht="15.75">
      <c r="B30" s="1673">
        <f t="shared" si="0"/>
        <v>43435</v>
      </c>
      <c r="C30" s="1644"/>
      <c r="D30" s="639">
        <f>+D29</f>
        <v>184918.88897305308</v>
      </c>
      <c r="E30" s="640"/>
      <c r="F30" s="639">
        <f>D29+F29</f>
        <v>2034107.7787035839</v>
      </c>
      <c r="G30" s="639"/>
      <c r="H30" s="639">
        <f>$H$27+SUM($N$25:$N$27)</f>
        <v>25754.960940267563</v>
      </c>
      <c r="I30" s="639"/>
      <c r="J30" s="639">
        <f>F30+H30</f>
        <v>2059862.7396438515</v>
      </c>
      <c r="K30" s="640"/>
      <c r="L30" s="641">
        <f>+'PSO WS Q Interest Rate'!E24</f>
        <v>4.1999999999999997E-3</v>
      </c>
      <c r="M30" s="642"/>
      <c r="N30" s="639">
        <f t="shared" si="1"/>
        <v>8651.4235065041757</v>
      </c>
      <c r="O30" s="648"/>
      <c r="P30" s="639"/>
      <c r="Q30" s="639"/>
      <c r="R30" s="639">
        <f>SUM($D$19:D30)+SUM($N$19:N30)</f>
        <v>2268218.4267502893</v>
      </c>
      <c r="T30" s="916">
        <v>12</v>
      </c>
    </row>
    <row r="31" spans="2:20" ht="15.75">
      <c r="B31" s="1644"/>
      <c r="C31" s="1644"/>
      <c r="D31" s="639"/>
      <c r="E31" s="640"/>
      <c r="F31" s="639"/>
      <c r="G31" s="639"/>
      <c r="H31" s="639"/>
      <c r="I31" s="639"/>
      <c r="J31" s="639"/>
      <c r="K31" s="640"/>
      <c r="L31" s="1659"/>
      <c r="M31" s="1644"/>
      <c r="N31" s="648"/>
      <c r="O31" s="648"/>
      <c r="P31" s="639"/>
      <c r="Q31" s="639"/>
      <c r="R31" s="1674"/>
    </row>
    <row r="32" spans="2:20" ht="15.75">
      <c r="B32" s="1672" t="s">
        <v>1113</v>
      </c>
      <c r="C32" s="1644"/>
      <c r="D32" s="639"/>
      <c r="E32" s="640"/>
      <c r="F32" s="639"/>
      <c r="G32" s="639"/>
      <c r="H32" s="639"/>
      <c r="I32" s="639"/>
      <c r="J32" s="639"/>
      <c r="K32" s="640"/>
      <c r="L32" s="1659"/>
      <c r="M32" s="1644"/>
      <c r="N32" s="639"/>
      <c r="O32" s="639"/>
      <c r="P32" s="639" t="s">
        <v>256</v>
      </c>
      <c r="Q32" s="639"/>
      <c r="R32" s="1675"/>
    </row>
    <row r="33" spans="2:20" ht="15.75">
      <c r="B33" s="1673">
        <f t="shared" ref="B33:B44" si="6">DATE($J$10,T33,1)</f>
        <v>43466</v>
      </c>
      <c r="C33" s="1644"/>
      <c r="D33" s="639">
        <v>0</v>
      </c>
      <c r="E33" s="640"/>
      <c r="F33" s="639">
        <f>D30+F30</f>
        <v>2219026.6676766369</v>
      </c>
      <c r="G33" s="639"/>
      <c r="H33" s="639">
        <f>$H$30+SUM($N$28:$N$30)</f>
        <v>49191.759073652545</v>
      </c>
      <c r="I33" s="639"/>
      <c r="J33" s="639">
        <f>F33+H33</f>
        <v>2268218.4267502893</v>
      </c>
      <c r="K33" s="640"/>
      <c r="L33" s="641">
        <f>+'PSO WS Q Interest Rate'!E25</f>
        <v>4.4000000000000003E-3</v>
      </c>
      <c r="M33" s="642"/>
      <c r="N33" s="639">
        <f t="shared" ref="N33:N44" si="7">J33*L33</f>
        <v>9980.1610777012738</v>
      </c>
      <c r="O33" s="639"/>
      <c r="P33" s="639"/>
      <c r="Q33" s="639"/>
      <c r="R33" s="639">
        <f>SUM($D$19:D33)+SUM($N$19:N33)</f>
        <v>2278198.5878279908</v>
      </c>
      <c r="T33" s="916">
        <v>1</v>
      </c>
    </row>
    <row r="34" spans="2:20" ht="15.75">
      <c r="B34" s="1673">
        <f t="shared" si="6"/>
        <v>43497</v>
      </c>
      <c r="C34" s="1644"/>
      <c r="D34" s="639">
        <v>0</v>
      </c>
      <c r="E34" s="640"/>
      <c r="F34" s="639">
        <f>D33+F33</f>
        <v>2219026.6676766369</v>
      </c>
      <c r="G34" s="639"/>
      <c r="H34" s="639">
        <f>$H$30+SUM($N$28:$N$30)</f>
        <v>49191.759073652545</v>
      </c>
      <c r="I34" s="639"/>
      <c r="J34" s="639">
        <f>F34+H34</f>
        <v>2268218.4267502893</v>
      </c>
      <c r="K34" s="640"/>
      <c r="L34" s="641">
        <f>+'PSO WS Q Interest Rate'!E26</f>
        <v>4.0000000000000001E-3</v>
      </c>
      <c r="M34" s="642"/>
      <c r="N34" s="639">
        <f t="shared" si="7"/>
        <v>9072.8737070011575</v>
      </c>
      <c r="O34" s="639"/>
      <c r="P34" s="639"/>
      <c r="Q34" s="639"/>
      <c r="R34" s="639">
        <f>SUM($D$19:D34)+SUM($N$19:N34)</f>
        <v>2287271.4615349919</v>
      </c>
      <c r="T34" s="916">
        <v>2</v>
      </c>
    </row>
    <row r="35" spans="2:20" ht="15.75">
      <c r="B35" s="1673">
        <f t="shared" si="6"/>
        <v>43525</v>
      </c>
      <c r="C35" s="1644"/>
      <c r="D35" s="639">
        <v>0</v>
      </c>
      <c r="E35" s="640"/>
      <c r="F35" s="639">
        <f t="shared" ref="F35:F43" si="8">D34+F34</f>
        <v>2219026.6676766369</v>
      </c>
      <c r="G35" s="639"/>
      <c r="H35" s="639">
        <f>$H$30+SUM($N$28:$N$30)</f>
        <v>49191.759073652545</v>
      </c>
      <c r="I35" s="639"/>
      <c r="J35" s="639">
        <f t="shared" ref="J35:J41" si="9">F35+H35</f>
        <v>2268218.4267502893</v>
      </c>
      <c r="K35" s="640"/>
      <c r="L35" s="641">
        <f>+'PSO WS Q Interest Rate'!E27</f>
        <v>4.4000000000000003E-3</v>
      </c>
      <c r="M35" s="642"/>
      <c r="N35" s="639">
        <f t="shared" si="7"/>
        <v>9980.1610777012738</v>
      </c>
      <c r="O35" s="639"/>
      <c r="P35" s="639"/>
      <c r="Q35" s="639"/>
      <c r="R35" s="639">
        <f>SUM($D$19:D35)+SUM($N$19:N35)</f>
        <v>2297251.6226126933</v>
      </c>
      <c r="T35" s="916">
        <v>3</v>
      </c>
    </row>
    <row r="36" spans="2:20" ht="15.75">
      <c r="B36" s="1673">
        <f t="shared" si="6"/>
        <v>43556</v>
      </c>
      <c r="C36" s="1644"/>
      <c r="D36" s="639">
        <v>0</v>
      </c>
      <c r="E36" s="640"/>
      <c r="F36" s="639">
        <f t="shared" si="8"/>
        <v>2219026.6676766369</v>
      </c>
      <c r="G36" s="639"/>
      <c r="H36" s="639">
        <f>$H$35+SUM($N$33:$N$35)</f>
        <v>78224.954936056252</v>
      </c>
      <c r="I36" s="639"/>
      <c r="J36" s="639">
        <f>F36+H36</f>
        <v>2297251.6226126933</v>
      </c>
      <c r="K36" s="640"/>
      <c r="L36" s="641">
        <f>+'PSO WS Q Interest Rate'!E28</f>
        <v>4.4999999999999997E-3</v>
      </c>
      <c r="M36" s="642"/>
      <c r="N36" s="639">
        <f t="shared" si="7"/>
        <v>10337.632301757119</v>
      </c>
      <c r="O36" s="639"/>
      <c r="P36" s="639"/>
      <c r="Q36" s="639"/>
      <c r="R36" s="639">
        <f>SUM($D$19:D36)+SUM($N$19:N36)</f>
        <v>2307589.2549144505</v>
      </c>
      <c r="T36" s="916">
        <v>4</v>
      </c>
    </row>
    <row r="37" spans="2:20" ht="15.75">
      <c r="B37" s="1673">
        <f t="shared" si="6"/>
        <v>43586</v>
      </c>
      <c r="C37" s="1644"/>
      <c r="D37" s="639">
        <v>0</v>
      </c>
      <c r="E37" s="640"/>
      <c r="F37" s="639">
        <f t="shared" si="8"/>
        <v>2219026.6676766369</v>
      </c>
      <c r="G37" s="639"/>
      <c r="H37" s="639">
        <f>$H$35+SUM($N$33:$N$35)</f>
        <v>78224.954936056252</v>
      </c>
      <c r="I37" s="639"/>
      <c r="J37" s="639">
        <f t="shared" si="9"/>
        <v>2297251.6226126933</v>
      </c>
      <c r="K37" s="640"/>
      <c r="L37" s="641">
        <f>+'PSO WS Q Interest Rate'!E29</f>
        <v>4.5999999999999999E-3</v>
      </c>
      <c r="M37" s="642"/>
      <c r="N37" s="639">
        <f t="shared" si="7"/>
        <v>10567.357464018389</v>
      </c>
      <c r="O37" s="639"/>
      <c r="P37" s="639"/>
      <c r="Q37" s="639"/>
      <c r="R37" s="639">
        <f>SUM($D$19:D37)+SUM($N$19:N37)</f>
        <v>2318156.6123784687</v>
      </c>
      <c r="T37" s="916">
        <v>5</v>
      </c>
    </row>
    <row r="38" spans="2:20" ht="15.75">
      <c r="B38" s="1673">
        <f t="shared" si="6"/>
        <v>43617</v>
      </c>
      <c r="C38" s="1644"/>
      <c r="D38" s="639">
        <v>0</v>
      </c>
      <c r="E38" s="640"/>
      <c r="F38" s="639">
        <f t="shared" si="8"/>
        <v>2219026.6676766369</v>
      </c>
      <c r="G38" s="639"/>
      <c r="H38" s="639">
        <f>$H$35+SUM($N$33:$N$35)</f>
        <v>78224.954936056252</v>
      </c>
      <c r="I38" s="639"/>
      <c r="J38" s="639">
        <f t="shared" si="9"/>
        <v>2297251.6226126933</v>
      </c>
      <c r="K38" s="640"/>
      <c r="L38" s="641">
        <f>+'PSO WS Q Interest Rate'!E30</f>
        <v>4.4999999999999997E-3</v>
      </c>
      <c r="M38" s="642"/>
      <c r="N38" s="639">
        <f t="shared" si="7"/>
        <v>10337.632301757119</v>
      </c>
      <c r="O38" s="639"/>
      <c r="P38" s="639"/>
      <c r="Q38" s="639"/>
      <c r="R38" s="639">
        <f>SUM($D$19:D38)+SUM($N$19:N38)</f>
        <v>2328494.2446802258</v>
      </c>
      <c r="T38" s="916">
        <v>6</v>
      </c>
    </row>
    <row r="39" spans="2:20" ht="15.75">
      <c r="B39" s="1673">
        <f t="shared" si="6"/>
        <v>43647</v>
      </c>
      <c r="C39" s="1644"/>
      <c r="D39" s="639">
        <v>0</v>
      </c>
      <c r="E39" s="640"/>
      <c r="F39" s="639">
        <f t="shared" si="8"/>
        <v>2219026.6676766369</v>
      </c>
      <c r="G39" s="639"/>
      <c r="H39" s="639">
        <f>$H$38+SUM($N$36:$N$38)</f>
        <v>109467.57700358887</v>
      </c>
      <c r="I39" s="639"/>
      <c r="J39" s="639">
        <f>F39+H39</f>
        <v>2328494.2446802258</v>
      </c>
      <c r="K39" s="640"/>
      <c r="L39" s="641">
        <f>+'PSO WS Q Interest Rate'!E31</f>
        <v>4.4999999999999997E-3</v>
      </c>
      <c r="M39" s="642"/>
      <c r="N39" s="639">
        <f t="shared" si="7"/>
        <v>10478.224101061016</v>
      </c>
      <c r="O39" s="639"/>
      <c r="P39" s="639"/>
      <c r="Q39" s="639"/>
      <c r="R39" s="639">
        <f>SUM($D$19:D39)+SUM($N$19:N39)</f>
        <v>2338972.4687812869</v>
      </c>
      <c r="T39" s="916">
        <v>7</v>
      </c>
    </row>
    <row r="40" spans="2:20" ht="15.75">
      <c r="B40" s="1673">
        <f t="shared" si="6"/>
        <v>43678</v>
      </c>
      <c r="C40" s="1644"/>
      <c r="D40" s="639">
        <v>0</v>
      </c>
      <c r="E40" s="640"/>
      <c r="F40" s="639">
        <f t="shared" si="8"/>
        <v>2219026.6676766369</v>
      </c>
      <c r="G40" s="639"/>
      <c r="H40" s="639">
        <f>$H$38+SUM($N$36:$N$38)</f>
        <v>109467.57700358887</v>
      </c>
      <c r="I40" s="639"/>
      <c r="J40" s="639">
        <f t="shared" si="9"/>
        <v>2328494.2446802258</v>
      </c>
      <c r="K40" s="640"/>
      <c r="L40" s="641">
        <f>+'PSO WS Q Interest Rate'!E32</f>
        <v>4.4999999999999997E-3</v>
      </c>
      <c r="M40" s="642"/>
      <c r="N40" s="639">
        <f t="shared" si="7"/>
        <v>10478.224101061016</v>
      </c>
      <c r="O40" s="639"/>
      <c r="P40" s="639"/>
      <c r="Q40" s="639"/>
      <c r="R40" s="639">
        <f>SUM($D$19:D40)+SUM($N$19:N40)</f>
        <v>2349450.6928823479</v>
      </c>
      <c r="T40" s="916">
        <v>8</v>
      </c>
    </row>
    <row r="41" spans="2:20" ht="15.75">
      <c r="B41" s="1673">
        <f t="shared" si="6"/>
        <v>43709</v>
      </c>
      <c r="C41" s="1644"/>
      <c r="D41" s="639">
        <v>0</v>
      </c>
      <c r="E41" s="640"/>
      <c r="F41" s="639">
        <f t="shared" si="8"/>
        <v>2219026.6676766369</v>
      </c>
      <c r="G41" s="639"/>
      <c r="H41" s="639">
        <f>$H$38+SUM($N$36:$N$38)</f>
        <v>109467.57700358887</v>
      </c>
      <c r="I41" s="639"/>
      <c r="J41" s="639">
        <f t="shared" si="9"/>
        <v>2328494.2446802258</v>
      </c>
      <c r="K41" s="640"/>
      <c r="L41" s="641">
        <f>+'PSO WS Q Interest Rate'!E33</f>
        <v>4.4999999999999997E-3</v>
      </c>
      <c r="M41" s="642"/>
      <c r="N41" s="639">
        <f t="shared" si="7"/>
        <v>10478.224101061016</v>
      </c>
      <c r="O41" s="639"/>
      <c r="P41" s="639"/>
      <c r="Q41" s="639"/>
      <c r="R41" s="639">
        <f>SUM($D$19:D41)+SUM($N$19:N41)</f>
        <v>2359928.9169834089</v>
      </c>
      <c r="T41" s="916">
        <v>9</v>
      </c>
    </row>
    <row r="42" spans="2:20" ht="15.75">
      <c r="B42" s="1673">
        <f t="shared" si="6"/>
        <v>43739</v>
      </c>
      <c r="C42" s="1644"/>
      <c r="D42" s="639">
        <v>0</v>
      </c>
      <c r="E42" s="640"/>
      <c r="F42" s="639">
        <f t="shared" si="8"/>
        <v>2219026.6676766369</v>
      </c>
      <c r="G42" s="639"/>
      <c r="H42" s="639">
        <f>$H$41+SUM($N$39:$N$41)</f>
        <v>140902.2493067719</v>
      </c>
      <c r="I42" s="639"/>
      <c r="J42" s="639">
        <f>F42+H42</f>
        <v>2359928.9169834089</v>
      </c>
      <c r="K42" s="640"/>
      <c r="L42" s="641">
        <f>+'PSO WS Q Interest Rate'!E34</f>
        <v>4.4999999999999997E-3</v>
      </c>
      <c r="M42" s="642"/>
      <c r="N42" s="639">
        <f t="shared" si="7"/>
        <v>10619.680126425339</v>
      </c>
      <c r="O42" s="639"/>
      <c r="P42" s="639"/>
      <c r="Q42" s="639"/>
      <c r="R42" s="639">
        <f>SUM($D$19:D42)+SUM($N$19:N42)</f>
        <v>2370548.5971098342</v>
      </c>
      <c r="T42" s="916">
        <v>10</v>
      </c>
    </row>
    <row r="43" spans="2:20" ht="15.75">
      <c r="B43" s="1673">
        <f t="shared" si="6"/>
        <v>43770</v>
      </c>
      <c r="C43" s="1644"/>
      <c r="D43" s="639">
        <v>0</v>
      </c>
      <c r="E43" s="640"/>
      <c r="F43" s="639">
        <f t="shared" si="8"/>
        <v>2219026.6676766369</v>
      </c>
      <c r="G43" s="639"/>
      <c r="H43" s="639">
        <f>$H$41+SUM($N$39:$N$41)</f>
        <v>140902.2493067719</v>
      </c>
      <c r="I43" s="639"/>
      <c r="J43" s="639">
        <f>F43+H43</f>
        <v>2359928.9169834089</v>
      </c>
      <c r="K43" s="640"/>
      <c r="L43" s="641">
        <f>+'PSO WS Q Interest Rate'!E35</f>
        <v>4.4999999999999997E-3</v>
      </c>
      <c r="M43" s="642"/>
      <c r="N43" s="639">
        <f t="shared" si="7"/>
        <v>10619.680126425339</v>
      </c>
      <c r="O43" s="639"/>
      <c r="P43" s="639"/>
      <c r="Q43" s="639"/>
      <c r="R43" s="639">
        <f>SUM($D$19:D43)+SUM($N$19:N43)</f>
        <v>2381168.2772362595</v>
      </c>
      <c r="T43" s="916">
        <v>11</v>
      </c>
    </row>
    <row r="44" spans="2:20" ht="15.75">
      <c r="B44" s="1673">
        <f t="shared" si="6"/>
        <v>43800</v>
      </c>
      <c r="C44" s="1644"/>
      <c r="D44" s="639">
        <v>0</v>
      </c>
      <c r="E44" s="640"/>
      <c r="F44" s="639">
        <f>D43+F43</f>
        <v>2219026.6676766369</v>
      </c>
      <c r="G44" s="639"/>
      <c r="H44" s="639">
        <f>$H$41+SUM($N$39:$N$41)</f>
        <v>140902.2493067719</v>
      </c>
      <c r="I44" s="639"/>
      <c r="J44" s="639">
        <f>F44+H44</f>
        <v>2359928.9169834089</v>
      </c>
      <c r="K44" s="640"/>
      <c r="L44" s="641">
        <f>+'PSO WS Q Interest Rate'!E36</f>
        <v>4.4999999999999997E-3</v>
      </c>
      <c r="M44" s="642"/>
      <c r="N44" s="639">
        <f t="shared" si="7"/>
        <v>10619.680126425339</v>
      </c>
      <c r="O44" s="648"/>
      <c r="P44" s="639"/>
      <c r="Q44" s="639"/>
      <c r="R44" s="639">
        <f>SUM($D$19:D44)+SUM($N$19:N44)</f>
        <v>2391787.9573626849</v>
      </c>
      <c r="T44" s="916">
        <v>12</v>
      </c>
    </row>
    <row r="45" spans="2:20" ht="15.75">
      <c r="B45" s="1644"/>
      <c r="C45" s="1644"/>
      <c r="D45" s="639"/>
      <c r="E45" s="1657"/>
      <c r="F45" s="639"/>
      <c r="G45" s="639"/>
      <c r="H45" s="639"/>
      <c r="I45" s="639"/>
      <c r="J45" s="639"/>
      <c r="K45" s="1657"/>
      <c r="L45" s="1659"/>
      <c r="M45" s="1644"/>
      <c r="N45" s="1676"/>
      <c r="O45" s="1676"/>
      <c r="P45" s="639"/>
      <c r="Q45" s="639"/>
      <c r="R45" s="639"/>
      <c r="T45" s="1677"/>
    </row>
    <row r="46" spans="2:20" ht="15.75">
      <c r="B46" s="1678" t="s">
        <v>1114</v>
      </c>
      <c r="C46" s="1644"/>
      <c r="D46" s="639"/>
      <c r="E46" s="640"/>
      <c r="F46" s="639"/>
      <c r="G46" s="639"/>
      <c r="H46" s="639"/>
      <c r="I46" s="639"/>
      <c r="J46" s="639"/>
      <c r="K46" s="640"/>
      <c r="L46" s="1659"/>
      <c r="M46" s="1644"/>
      <c r="N46" s="1679"/>
      <c r="O46" s="1679"/>
      <c r="P46" s="639"/>
      <c r="Q46" s="639"/>
      <c r="R46" s="639"/>
    </row>
    <row r="47" spans="2:20" ht="15.75">
      <c r="B47" s="1680" t="s">
        <v>420</v>
      </c>
      <c r="C47" s="1644"/>
      <c r="D47" s="639"/>
      <c r="E47" s="640"/>
      <c r="F47" s="639"/>
      <c r="G47" s="639"/>
      <c r="H47" s="639"/>
      <c r="I47" s="639"/>
      <c r="J47" s="639"/>
      <c r="K47" s="640"/>
      <c r="L47" s="1659"/>
      <c r="M47" s="1644"/>
      <c r="N47" s="1679"/>
      <c r="O47" s="1679"/>
      <c r="P47" s="639"/>
      <c r="Q47" s="639"/>
      <c r="R47" s="639"/>
    </row>
    <row r="48" spans="2:20" ht="15.75">
      <c r="B48" s="1673">
        <f t="shared" ref="B48:B59" si="10">DATE($J$11,T48,1)</f>
        <v>43831</v>
      </c>
      <c r="C48" s="1644"/>
      <c r="D48" s="639">
        <v>0</v>
      </c>
      <c r="E48" s="1681"/>
      <c r="F48" s="639">
        <f>D44+F44</f>
        <v>2219026.6676766369</v>
      </c>
      <c r="G48" s="1674"/>
      <c r="H48" s="639">
        <f>$H$44+SUM($N$42:$N$44)</f>
        <v>172761.28968604794</v>
      </c>
      <c r="I48" s="639"/>
      <c r="J48" s="639">
        <f>F48+H48</f>
        <v>2391787.9573626849</v>
      </c>
      <c r="K48" s="1657"/>
      <c r="L48" s="641">
        <f>+'PSO WS Q Interest Rate'!$E$39</f>
        <v>4.4499999999999991E-3</v>
      </c>
      <c r="M48" s="1644"/>
      <c r="N48" s="639">
        <f t="shared" ref="N48:N59" si="11">J48*L48</f>
        <v>10643.456410263945</v>
      </c>
      <c r="O48" s="639"/>
      <c r="P48" s="639">
        <f>PMT(L48,12,$R$44)</f>
        <v>-205127.7965597302</v>
      </c>
      <c r="Q48" s="639"/>
      <c r="R48" s="639">
        <f>SUM($D$19:D48)+SUM($N$19:N48)+SUM($P$48:P48)</f>
        <v>2197303.6172132189</v>
      </c>
      <c r="T48" s="916">
        <v>1</v>
      </c>
    </row>
    <row r="49" spans="2:20" ht="15.75">
      <c r="B49" s="1673">
        <f t="shared" si="10"/>
        <v>43862</v>
      </c>
      <c r="C49" s="1644"/>
      <c r="D49" s="639">
        <v>0</v>
      </c>
      <c r="E49" s="1657"/>
      <c r="F49" s="639">
        <f>D48+F48</f>
        <v>2219026.6676766369</v>
      </c>
      <c r="G49" s="639"/>
      <c r="H49" s="639">
        <f>$H$44+SUM($N$42:$N$44)</f>
        <v>172761.28968604794</v>
      </c>
      <c r="I49" s="639"/>
      <c r="J49" s="639">
        <f>R48</f>
        <v>2197303.6172132189</v>
      </c>
      <c r="K49" s="1657"/>
      <c r="L49" s="641">
        <f>+'PSO WS Q Interest Rate'!$E$39</f>
        <v>4.4499999999999991E-3</v>
      </c>
      <c r="M49" s="1644"/>
      <c r="N49" s="639">
        <f t="shared" si="11"/>
        <v>9778.0010965988222</v>
      </c>
      <c r="O49" s="639"/>
      <c r="P49" s="639">
        <f t="shared" ref="P49:P59" si="12">PMT(L49,12,$R$44)</f>
        <v>-205127.7965597302</v>
      </c>
      <c r="Q49" s="639"/>
      <c r="R49" s="639">
        <f>SUM($D$19:D49)+SUM($N$19:N49)+SUM($P$48:P49)</f>
        <v>2001953.8217500874</v>
      </c>
      <c r="T49" s="916">
        <v>2</v>
      </c>
    </row>
    <row r="50" spans="2:20" ht="15.75">
      <c r="B50" s="1673">
        <f t="shared" si="10"/>
        <v>43891</v>
      </c>
      <c r="C50" s="1644"/>
      <c r="D50" s="639">
        <v>0</v>
      </c>
      <c r="E50" s="1657"/>
      <c r="F50" s="639">
        <f t="shared" ref="F50:F58" si="13">D49+F49</f>
        <v>2219026.6676766369</v>
      </c>
      <c r="G50" s="639"/>
      <c r="H50" s="639">
        <f>$H$44+SUM($N$42:$N$44)</f>
        <v>172761.28968604794</v>
      </c>
      <c r="I50" s="639"/>
      <c r="J50" s="639">
        <f t="shared" ref="J50:J59" si="14">R49</f>
        <v>2001953.8217500874</v>
      </c>
      <c r="K50" s="1657"/>
      <c r="L50" s="641">
        <f>+'PSO WS Q Interest Rate'!$E$39</f>
        <v>4.4499999999999991E-3</v>
      </c>
      <c r="M50" s="1644"/>
      <c r="N50" s="639">
        <f t="shared" si="11"/>
        <v>8908.6945067878878</v>
      </c>
      <c r="O50" s="639"/>
      <c r="P50" s="639">
        <f t="shared" si="12"/>
        <v>-205127.7965597302</v>
      </c>
      <c r="Q50" s="639"/>
      <c r="R50" s="639">
        <f>SUM($D$19:D50)+SUM($N$19:N50)+SUM($P$48:P50)</f>
        <v>1805734.7196971448</v>
      </c>
      <c r="T50" s="916">
        <v>3</v>
      </c>
    </row>
    <row r="51" spans="2:20" ht="15.75">
      <c r="B51" s="1673">
        <f t="shared" si="10"/>
        <v>43922</v>
      </c>
      <c r="C51" s="1644"/>
      <c r="D51" s="639">
        <v>0</v>
      </c>
      <c r="E51" s="1657"/>
      <c r="F51" s="639">
        <f t="shared" si="13"/>
        <v>2219026.6676766369</v>
      </c>
      <c r="G51" s="639"/>
      <c r="H51" s="639">
        <f>$H$50+SUM($N$48:$N$50)</f>
        <v>202091.4416996986</v>
      </c>
      <c r="I51" s="639"/>
      <c r="J51" s="639">
        <f t="shared" si="14"/>
        <v>1805734.7196971448</v>
      </c>
      <c r="K51" s="1657"/>
      <c r="L51" s="641">
        <f>+'PSO WS Q Interest Rate'!$E$39</f>
        <v>4.4499999999999991E-3</v>
      </c>
      <c r="M51" s="1644"/>
      <c r="N51" s="639">
        <f t="shared" si="11"/>
        <v>8035.5195026522924</v>
      </c>
      <c r="O51" s="639"/>
      <c r="P51" s="639">
        <f t="shared" si="12"/>
        <v>-205127.7965597302</v>
      </c>
      <c r="Q51" s="639"/>
      <c r="R51" s="639">
        <f>SUM($D$19:D51)+SUM($N$19:N51)+SUM($P$48:P51)</f>
        <v>1608642.4426400671</v>
      </c>
      <c r="T51" s="916">
        <v>4</v>
      </c>
    </row>
    <row r="52" spans="2:20" ht="15.75">
      <c r="B52" s="1673">
        <f t="shared" si="10"/>
        <v>43952</v>
      </c>
      <c r="C52" s="1644"/>
      <c r="D52" s="639">
        <v>0</v>
      </c>
      <c r="E52" s="1657"/>
      <c r="F52" s="639">
        <f t="shared" si="13"/>
        <v>2219026.6676766369</v>
      </c>
      <c r="G52" s="639"/>
      <c r="H52" s="639">
        <f>$H$50+SUM($N$48:$N$50)</f>
        <v>202091.4416996986</v>
      </c>
      <c r="I52" s="639"/>
      <c r="J52" s="639">
        <f t="shared" si="14"/>
        <v>1608642.4426400671</v>
      </c>
      <c r="K52" s="1657"/>
      <c r="L52" s="641">
        <f>+'PSO WS Q Interest Rate'!$E$39</f>
        <v>4.4499999999999991E-3</v>
      </c>
      <c r="M52" s="1644"/>
      <c r="N52" s="639">
        <f t="shared" si="11"/>
        <v>7158.4588697482968</v>
      </c>
      <c r="O52" s="639"/>
      <c r="P52" s="639">
        <f t="shared" si="12"/>
        <v>-205127.7965597302</v>
      </c>
      <c r="Q52" s="639"/>
      <c r="R52" s="639">
        <f>SUM($D$19:D52)+SUM($N$19:N52)+SUM($P$48:P52)</f>
        <v>1410673.1049500853</v>
      </c>
      <c r="T52" s="916">
        <v>5</v>
      </c>
    </row>
    <row r="53" spans="2:20" ht="15.75">
      <c r="B53" s="1673">
        <f t="shared" si="10"/>
        <v>43983</v>
      </c>
      <c r="C53" s="926"/>
      <c r="D53" s="639">
        <v>0</v>
      </c>
      <c r="E53" s="1657"/>
      <c r="F53" s="639">
        <f t="shared" si="13"/>
        <v>2219026.6676766369</v>
      </c>
      <c r="G53" s="639"/>
      <c r="H53" s="639">
        <f>$H$50+SUM($N$48:$N$50)</f>
        <v>202091.4416996986</v>
      </c>
      <c r="I53" s="639"/>
      <c r="J53" s="639">
        <f t="shared" si="14"/>
        <v>1410673.1049500853</v>
      </c>
      <c r="K53" s="1657"/>
      <c r="L53" s="641">
        <f>+'PSO WS Q Interest Rate'!$E$39</f>
        <v>4.4499999999999991E-3</v>
      </c>
      <c r="M53" s="1644"/>
      <c r="N53" s="639">
        <f t="shared" si="11"/>
        <v>6277.4953170278786</v>
      </c>
      <c r="O53" s="639"/>
      <c r="P53" s="639">
        <f t="shared" si="12"/>
        <v>-205127.7965597302</v>
      </c>
      <c r="Q53" s="639"/>
      <c r="R53" s="639">
        <f>SUM($D$19:D53)+SUM($N$19:N53)+SUM($P$48:P53)</f>
        <v>1211822.8037073829</v>
      </c>
      <c r="T53" s="916">
        <v>6</v>
      </c>
    </row>
    <row r="54" spans="2:20" ht="15.75">
      <c r="B54" s="1673">
        <f t="shared" si="10"/>
        <v>44013</v>
      </c>
      <c r="C54" s="1644"/>
      <c r="D54" s="639">
        <v>0</v>
      </c>
      <c r="E54" s="1657"/>
      <c r="F54" s="639">
        <f t="shared" si="13"/>
        <v>2219026.6676766369</v>
      </c>
      <c r="G54" s="639"/>
      <c r="H54" s="639">
        <f>$H$53+SUM($N$51:$N$53)</f>
        <v>223562.91538912707</v>
      </c>
      <c r="I54" s="639"/>
      <c r="J54" s="639">
        <f t="shared" si="14"/>
        <v>1211822.8037073829</v>
      </c>
      <c r="K54" s="1657"/>
      <c r="L54" s="641">
        <f>+'PSO WS Q Interest Rate'!$E$39</f>
        <v>4.4499999999999991E-3</v>
      </c>
      <c r="M54" s="1644"/>
      <c r="N54" s="639">
        <f t="shared" si="11"/>
        <v>5392.6114764978529</v>
      </c>
      <c r="O54" s="639"/>
      <c r="P54" s="639">
        <f t="shared" si="12"/>
        <v>-205127.7965597302</v>
      </c>
      <c r="Q54" s="639"/>
      <c r="R54" s="639">
        <f>SUM($D$19:D54)+SUM($N$19:N54)+SUM($P$48:P54)</f>
        <v>1012087.6186241503</v>
      </c>
      <c r="T54" s="916">
        <v>7</v>
      </c>
    </row>
    <row r="55" spans="2:20" ht="15.75">
      <c r="B55" s="1673">
        <f t="shared" si="10"/>
        <v>44044</v>
      </c>
      <c r="C55" s="1644"/>
      <c r="D55" s="639">
        <v>0</v>
      </c>
      <c r="E55" s="1657"/>
      <c r="F55" s="639">
        <f t="shared" si="13"/>
        <v>2219026.6676766369</v>
      </c>
      <c r="G55" s="639"/>
      <c r="H55" s="639">
        <f>$H$53+SUM($N$51:$N$53)</f>
        <v>223562.91538912707</v>
      </c>
      <c r="I55" s="639"/>
      <c r="J55" s="639">
        <f t="shared" si="14"/>
        <v>1012087.6186241503</v>
      </c>
      <c r="K55" s="1657"/>
      <c r="L55" s="641">
        <f>+'PSO WS Q Interest Rate'!$E$39</f>
        <v>4.4499999999999991E-3</v>
      </c>
      <c r="M55" s="1644"/>
      <c r="N55" s="639">
        <f t="shared" si="11"/>
        <v>4503.7899028774682</v>
      </c>
      <c r="O55" s="639"/>
      <c r="P55" s="639">
        <f t="shared" si="12"/>
        <v>-205127.7965597302</v>
      </c>
      <c r="Q55" s="639"/>
      <c r="R55" s="639">
        <f>SUM($D$19:D55)+SUM($N$19:N55)+SUM($P$48:P55)</f>
        <v>811463.61196729774</v>
      </c>
      <c r="T55" s="916">
        <v>8</v>
      </c>
    </row>
    <row r="56" spans="2:20" ht="15.75">
      <c r="B56" s="1673">
        <f t="shared" si="10"/>
        <v>44075</v>
      </c>
      <c r="C56" s="1644"/>
      <c r="D56" s="639">
        <v>0</v>
      </c>
      <c r="E56" s="1657"/>
      <c r="F56" s="639">
        <f t="shared" si="13"/>
        <v>2219026.6676766369</v>
      </c>
      <c r="G56" s="639"/>
      <c r="H56" s="639">
        <f>$H$53+SUM($N$51:$N$53)</f>
        <v>223562.91538912707</v>
      </c>
      <c r="I56" s="639"/>
      <c r="J56" s="639">
        <f t="shared" si="14"/>
        <v>811463.61196729774</v>
      </c>
      <c r="K56" s="1657"/>
      <c r="L56" s="641">
        <f>+'PSO WS Q Interest Rate'!$E$39</f>
        <v>4.4499999999999991E-3</v>
      </c>
      <c r="M56" s="1644"/>
      <c r="N56" s="639">
        <f t="shared" si="11"/>
        <v>3611.0130732544744</v>
      </c>
      <c r="O56" s="639"/>
      <c r="P56" s="639">
        <f t="shared" si="12"/>
        <v>-205127.7965597302</v>
      </c>
      <c r="Q56" s="639"/>
      <c r="R56" s="639">
        <f>SUM($D$19:D56)+SUM($N$19:N56)+SUM($P$48:P56)</f>
        <v>609946.82848082203</v>
      </c>
      <c r="T56" s="916">
        <v>9</v>
      </c>
    </row>
    <row r="57" spans="2:20" ht="15.75">
      <c r="B57" s="1673">
        <f t="shared" si="10"/>
        <v>44105</v>
      </c>
      <c r="C57" s="1644"/>
      <c r="D57" s="639">
        <v>0</v>
      </c>
      <c r="E57" s="1657"/>
      <c r="F57" s="639">
        <f t="shared" si="13"/>
        <v>2219026.6676766369</v>
      </c>
      <c r="G57" s="639"/>
      <c r="H57" s="639">
        <f>$H$56+SUM($N$54:$N$56)</f>
        <v>237070.32984175687</v>
      </c>
      <c r="I57" s="639"/>
      <c r="J57" s="639">
        <f t="shared" si="14"/>
        <v>609946.82848082203</v>
      </c>
      <c r="K57" s="1657"/>
      <c r="L57" s="641">
        <f>+'PSO WS Q Interest Rate'!$E$39</f>
        <v>4.4499999999999991E-3</v>
      </c>
      <c r="M57" s="1644"/>
      <c r="N57" s="639">
        <f t="shared" si="11"/>
        <v>2714.2633867396576</v>
      </c>
      <c r="O57" s="639"/>
      <c r="P57" s="639">
        <f t="shared" si="12"/>
        <v>-205127.7965597302</v>
      </c>
      <c r="Q57" s="639"/>
      <c r="R57" s="639">
        <f>SUM($D$19:D57)+SUM($N$19:N57)+SUM($P$48:P57)</f>
        <v>407533.29530783184</v>
      </c>
      <c r="T57" s="916">
        <v>10</v>
      </c>
    </row>
    <row r="58" spans="2:20" ht="15.75">
      <c r="B58" s="1673">
        <f t="shared" si="10"/>
        <v>44136</v>
      </c>
      <c r="C58" s="1644"/>
      <c r="D58" s="639">
        <v>0</v>
      </c>
      <c r="E58" s="1657"/>
      <c r="F58" s="639">
        <f t="shared" si="13"/>
        <v>2219026.6676766369</v>
      </c>
      <c r="G58" s="639"/>
      <c r="H58" s="639">
        <f>$H$56+SUM($N$54:$N$56)</f>
        <v>237070.32984175687</v>
      </c>
      <c r="I58" s="639"/>
      <c r="J58" s="639">
        <f t="shared" si="14"/>
        <v>407533.29530783184</v>
      </c>
      <c r="K58" s="1657"/>
      <c r="L58" s="641">
        <f>+'PSO WS Q Interest Rate'!$E$39</f>
        <v>4.4499999999999991E-3</v>
      </c>
      <c r="M58" s="1644"/>
      <c r="N58" s="639">
        <f t="shared" si="11"/>
        <v>1813.5231641198513</v>
      </c>
      <c r="O58" s="639"/>
      <c r="P58" s="639">
        <f t="shared" si="12"/>
        <v>-205127.7965597302</v>
      </c>
      <c r="Q58" s="639"/>
      <c r="R58" s="639">
        <f>SUM($D$19:D58)+SUM($N$19:N58)+SUM($P$48:P58)</f>
        <v>204219.02191222133</v>
      </c>
      <c r="S58" s="1682"/>
      <c r="T58" s="916">
        <v>11</v>
      </c>
    </row>
    <row r="59" spans="2:20" ht="16.5" thickBot="1">
      <c r="B59" s="1683">
        <f t="shared" si="10"/>
        <v>44166</v>
      </c>
      <c r="C59" s="1684"/>
      <c r="D59" s="643">
        <v>0</v>
      </c>
      <c r="E59" s="1660"/>
      <c r="F59" s="643">
        <f>D58+F58</f>
        <v>2219026.6676766369</v>
      </c>
      <c r="G59" s="643"/>
      <c r="H59" s="643">
        <f>$H$56+SUM($N$54:$N$56)</f>
        <v>237070.32984175687</v>
      </c>
      <c r="I59" s="643"/>
      <c r="J59" s="643">
        <f t="shared" si="14"/>
        <v>204219.02191222133</v>
      </c>
      <c r="K59" s="1660"/>
      <c r="L59" s="645">
        <f>+'PSO WS Q Interest Rate'!$E$39</f>
        <v>4.4499999999999991E-3</v>
      </c>
      <c r="M59" s="1684"/>
      <c r="N59" s="643">
        <f t="shared" si="11"/>
        <v>908.77464750938475</v>
      </c>
      <c r="O59" s="643"/>
      <c r="P59" s="643">
        <f t="shared" si="12"/>
        <v>-205127.7965597302</v>
      </c>
      <c r="Q59" s="643"/>
      <c r="R59" s="643">
        <f>SUM($D$19:D59)+SUM($N$19:N59)+SUM($P$48:P59)</f>
        <v>0</v>
      </c>
      <c r="T59" s="916">
        <v>12</v>
      </c>
    </row>
    <row r="60" spans="2:20" ht="15.75">
      <c r="B60" s="1644"/>
      <c r="C60" s="1644"/>
      <c r="D60" s="1657"/>
      <c r="E60" s="1657"/>
      <c r="F60" s="1657"/>
      <c r="G60" s="1657"/>
      <c r="H60" s="1657"/>
      <c r="I60" s="1657"/>
      <c r="J60" s="1657"/>
      <c r="K60" s="1657"/>
      <c r="L60" s="1644"/>
      <c r="M60" s="1644"/>
      <c r="N60" s="639"/>
      <c r="O60" s="639"/>
      <c r="P60" s="639"/>
      <c r="Q60" s="639"/>
      <c r="R60" s="639"/>
    </row>
    <row r="61" spans="2:20" ht="15">
      <c r="B61" s="926"/>
      <c r="C61" s="926"/>
      <c r="D61" s="926"/>
      <c r="E61" s="926"/>
      <c r="F61" s="926"/>
      <c r="G61" s="926"/>
      <c r="H61" s="926"/>
      <c r="I61" s="926"/>
      <c r="J61" s="926"/>
      <c r="K61" s="926"/>
      <c r="L61" s="926"/>
      <c r="M61" s="926"/>
      <c r="N61" s="1675"/>
      <c r="O61" s="1675"/>
      <c r="P61" s="1675"/>
      <c r="Q61" s="1675"/>
      <c r="R61" s="1675"/>
    </row>
    <row r="62" spans="2:20" ht="15.75">
      <c r="B62" s="1685" t="s">
        <v>1115</v>
      </c>
      <c r="C62" s="1686"/>
      <c r="D62" s="1686"/>
      <c r="E62" s="1686"/>
      <c r="F62" s="1686"/>
      <c r="G62" s="1686"/>
      <c r="H62" s="1686"/>
      <c r="I62" s="1686"/>
      <c r="J62" s="1686"/>
      <c r="K62" s="1686"/>
      <c r="L62" s="1686"/>
      <c r="M62" s="1686"/>
      <c r="N62" s="1687"/>
      <c r="O62" s="1687"/>
      <c r="P62" s="647">
        <f>(SUM(P48:P59)*-1)</f>
        <v>2461533.5587167619</v>
      </c>
      <c r="Q62" s="1675"/>
      <c r="R62" s="1675"/>
    </row>
    <row r="63" spans="2:20" ht="15.75">
      <c r="B63" s="1688" t="s">
        <v>1116</v>
      </c>
      <c r="C63" s="1689"/>
      <c r="D63" s="1689"/>
      <c r="E63" s="1689"/>
      <c r="F63" s="1689"/>
      <c r="G63" s="1689"/>
      <c r="H63" s="1689"/>
      <c r="I63" s="1689"/>
      <c r="J63" s="1689"/>
      <c r="K63" s="1689"/>
      <c r="L63" s="1689"/>
      <c r="M63" s="1689"/>
      <c r="N63" s="1690"/>
      <c r="O63" s="1690"/>
      <c r="P63" s="648">
        <f>+F11</f>
        <v>2219026.6676766369</v>
      </c>
      <c r="Q63" s="1675"/>
      <c r="R63" s="1675"/>
    </row>
    <row r="64" spans="2:20" ht="15.75">
      <c r="B64" s="1691" t="s">
        <v>1117</v>
      </c>
      <c r="C64" s="1692"/>
      <c r="D64" s="1692"/>
      <c r="E64" s="1692"/>
      <c r="F64" s="1692"/>
      <c r="G64" s="1692"/>
      <c r="H64" s="1692"/>
      <c r="I64" s="1692"/>
      <c r="J64" s="1692"/>
      <c r="K64" s="1692"/>
      <c r="L64" s="1692"/>
      <c r="M64" s="1692"/>
      <c r="N64" s="1693"/>
      <c r="O64" s="1693"/>
      <c r="P64" s="649">
        <f>+(P62-P63)</f>
        <v>242506.89104012493</v>
      </c>
      <c r="Q64" s="1675"/>
      <c r="R64" s="1675"/>
    </row>
    <row r="65" spans="2:18">
      <c r="B65" s="791"/>
      <c r="C65" s="791"/>
      <c r="D65" s="791"/>
      <c r="E65" s="791"/>
      <c r="F65" s="791"/>
      <c r="G65" s="791"/>
      <c r="H65" s="791"/>
      <c r="I65" s="791"/>
      <c r="J65" s="791"/>
      <c r="K65" s="791"/>
      <c r="L65" s="791"/>
      <c r="M65" s="791"/>
      <c r="N65" s="791"/>
      <c r="O65" s="791"/>
      <c r="P65" s="791"/>
      <c r="Q65" s="791"/>
      <c r="R65" s="791"/>
    </row>
    <row r="66" spans="2:18" ht="15.75" customHeight="1">
      <c r="B66" s="2524" t="s">
        <v>1355</v>
      </c>
      <c r="C66" s="2524"/>
      <c r="D66" s="2524"/>
      <c r="E66" s="2524"/>
      <c r="F66" s="2524"/>
      <c r="G66" s="2524"/>
      <c r="H66" s="2524"/>
      <c r="I66" s="2524"/>
      <c r="J66" s="2524"/>
      <c r="K66" s="2524"/>
      <c r="L66" s="2524"/>
      <c r="M66" s="2524"/>
      <c r="N66" s="2524"/>
      <c r="O66" s="2524"/>
      <c r="P66" s="2524"/>
      <c r="Q66" s="1694"/>
      <c r="R66" s="1694"/>
    </row>
    <row r="67" spans="2:18" ht="12.75" customHeight="1">
      <c r="B67" s="2524"/>
      <c r="C67" s="2524"/>
      <c r="D67" s="2524"/>
      <c r="E67" s="2524"/>
      <c r="F67" s="2524"/>
      <c r="G67" s="2524"/>
      <c r="H67" s="2524"/>
      <c r="I67" s="2524"/>
      <c r="J67" s="2524"/>
      <c r="K67" s="2524"/>
      <c r="L67" s="2524"/>
      <c r="M67" s="2524"/>
      <c r="N67" s="2524"/>
      <c r="O67" s="2524"/>
      <c r="P67" s="2524"/>
      <c r="Q67" s="791"/>
      <c r="R67" s="791"/>
    </row>
    <row r="68" spans="2:18" ht="38.25" customHeight="1">
      <c r="B68" s="2524"/>
      <c r="C68" s="2524"/>
      <c r="D68" s="2524"/>
      <c r="E68" s="2524"/>
      <c r="F68" s="2524"/>
      <c r="G68" s="2524"/>
      <c r="H68" s="2524"/>
      <c r="I68" s="2524"/>
      <c r="J68" s="2524"/>
      <c r="K68" s="2524"/>
      <c r="L68" s="2524"/>
      <c r="M68" s="2524"/>
      <c r="N68" s="2524"/>
      <c r="O68" s="2524"/>
      <c r="P68" s="2524"/>
      <c r="Q68" s="1695"/>
      <c r="R68" s="1695"/>
    </row>
    <row r="70" spans="2:18" ht="22.5" customHeight="1">
      <c r="B70" s="2521" t="s">
        <v>1356</v>
      </c>
      <c r="C70" s="2521"/>
      <c r="D70" s="2521"/>
      <c r="E70" s="2521"/>
      <c r="F70" s="2521"/>
      <c r="G70" s="2521"/>
      <c r="H70" s="2521"/>
      <c r="I70" s="2521"/>
      <c r="J70" s="2521"/>
      <c r="K70" s="2521"/>
      <c r="L70" s="2521"/>
      <c r="M70" s="2521"/>
      <c r="N70" s="2521"/>
      <c r="O70" s="2521"/>
      <c r="P70" s="2521"/>
    </row>
    <row r="73" spans="2:18" ht="15.75">
      <c r="B73" s="1669"/>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22" zoomScaleNormal="100" workbookViewId="0">
      <selection activeCell="N35" sqref="N35"/>
    </sheetView>
  </sheetViews>
  <sheetFormatPr defaultColWidth="9.140625" defaultRowHeight="12.75"/>
  <cols>
    <col min="1" max="1" width="1.7109375" style="916" customWidth="1"/>
    <col min="2" max="2" width="25.140625" style="916" customWidth="1"/>
    <col min="3" max="3" width="1.7109375" style="916" customWidth="1"/>
    <col min="4" max="4" width="22.5703125" style="916" customWidth="1"/>
    <col min="5" max="5" width="1.7109375" style="916" customWidth="1"/>
    <col min="6" max="6" width="24.85546875" style="916" customWidth="1"/>
    <col min="7" max="7" width="1.7109375" style="916" customWidth="1"/>
    <col min="8" max="8" width="21.42578125" style="916" customWidth="1"/>
    <col min="9" max="9" width="1.7109375" style="916" customWidth="1"/>
    <col min="10" max="10" width="21" style="916" customWidth="1"/>
    <col min="11" max="11" width="1.7109375" style="916" customWidth="1"/>
    <col min="12" max="12" width="18.28515625" style="916" customWidth="1"/>
    <col min="13" max="13" width="1.7109375" style="916" customWidth="1"/>
    <col min="14" max="14" width="17" style="916" customWidth="1"/>
    <col min="15" max="15" width="1.7109375" style="916" customWidth="1"/>
    <col min="16" max="16" width="18.140625" style="916" customWidth="1"/>
    <col min="17" max="17" width="7.7109375" style="916" bestFit="1" customWidth="1"/>
    <col min="18" max="18" width="3" style="916" hidden="1" customWidth="1"/>
    <col min="19" max="19" width="9.140625" style="916"/>
    <col min="20" max="20" width="3" style="916" bestFit="1" customWidth="1"/>
    <col min="21" max="16384" width="9.140625" style="916"/>
  </cols>
  <sheetData>
    <row r="1" spans="1:18" ht="15">
      <c r="A1" s="1641"/>
    </row>
    <row r="2" spans="1:18" ht="15.75">
      <c r="A2" s="1642"/>
    </row>
    <row r="3" spans="1:18" ht="15.75">
      <c r="A3" s="1642"/>
    </row>
    <row r="4" spans="1:18" ht="15.75">
      <c r="B4" s="2522" t="s">
        <v>878</v>
      </c>
      <c r="C4" s="2522"/>
      <c r="D4" s="2522"/>
      <c r="E4" s="2522"/>
      <c r="F4" s="2522"/>
      <c r="G4" s="2522"/>
      <c r="H4" s="2522"/>
      <c r="I4" s="2522"/>
      <c r="J4" s="2522"/>
      <c r="K4" s="2522"/>
      <c r="L4" s="2522"/>
      <c r="M4" s="2522"/>
      <c r="N4" s="2522"/>
      <c r="O4" s="2522"/>
      <c r="P4" s="2522"/>
    </row>
    <row r="5" spans="1:18" ht="15.75">
      <c r="B5" s="2523" t="str">
        <f>+'PSO WS A-1 - Plant'!A3</f>
        <v xml:space="preserve">Actual / Projected 2018 Rate Year Cost of Service Formula Rate </v>
      </c>
      <c r="C5" s="2523"/>
      <c r="D5" s="2523"/>
      <c r="E5" s="2523"/>
      <c r="F5" s="2523"/>
      <c r="G5" s="2523"/>
      <c r="H5" s="2523"/>
      <c r="I5" s="2523"/>
      <c r="J5" s="2523"/>
      <c r="K5" s="2523"/>
      <c r="L5" s="2523"/>
      <c r="M5" s="2523"/>
      <c r="N5" s="2523"/>
      <c r="O5" s="2523"/>
      <c r="P5" s="2523"/>
    </row>
    <row r="6" spans="1:18" ht="15.75">
      <c r="B6" s="2523" t="s">
        <v>1118</v>
      </c>
      <c r="C6" s="2523"/>
      <c r="D6" s="2523"/>
      <c r="E6" s="2523"/>
      <c r="F6" s="2523"/>
      <c r="G6" s="2523"/>
      <c r="H6" s="2523"/>
      <c r="I6" s="2523"/>
      <c r="J6" s="2523"/>
      <c r="K6" s="2523"/>
      <c r="L6" s="2523"/>
      <c r="M6" s="2523"/>
      <c r="N6" s="2523"/>
      <c r="O6" s="2523"/>
      <c r="P6" s="2523"/>
    </row>
    <row r="7" spans="1:18" ht="15.75">
      <c r="B7" s="2479" t="str">
        <f>+'PSO TCOS'!F8</f>
        <v>PUBLIC SERVICE COMPANY OF OKLAHOMA</v>
      </c>
      <c r="C7" s="2479"/>
      <c r="D7" s="2479"/>
      <c r="E7" s="2479"/>
      <c r="F7" s="2479"/>
      <c r="G7" s="2479"/>
      <c r="H7" s="2479"/>
      <c r="I7" s="2479"/>
      <c r="J7" s="2479"/>
      <c r="K7" s="2479"/>
      <c r="L7" s="2479"/>
      <c r="M7" s="2479"/>
      <c r="N7" s="2479"/>
      <c r="O7" s="2479"/>
      <c r="P7" s="2479"/>
      <c r="Q7" s="1696"/>
      <c r="R7" s="1696"/>
    </row>
    <row r="8" spans="1:18">
      <c r="B8" s="791"/>
      <c r="C8" s="791"/>
      <c r="D8" s="791"/>
      <c r="E8" s="791"/>
      <c r="F8" s="791"/>
      <c r="G8" s="791"/>
      <c r="H8" s="791"/>
      <c r="I8" s="791"/>
      <c r="J8" s="791"/>
      <c r="K8" s="791"/>
      <c r="L8" s="791"/>
      <c r="M8" s="791"/>
      <c r="N8" s="791"/>
      <c r="O8" s="791"/>
      <c r="P8" s="791"/>
    </row>
    <row r="9" spans="1:18">
      <c r="B9" s="791"/>
      <c r="C9" s="791"/>
      <c r="D9" s="791"/>
      <c r="E9" s="791"/>
      <c r="F9" s="791"/>
      <c r="G9" s="791"/>
      <c r="H9" s="791"/>
      <c r="I9" s="791"/>
      <c r="J9" s="791"/>
      <c r="K9" s="791"/>
      <c r="L9" s="791"/>
      <c r="M9" s="791"/>
      <c r="N9" s="791"/>
      <c r="O9" s="791"/>
      <c r="P9" s="791"/>
    </row>
    <row r="10" spans="1:18" ht="16.5" thickBot="1">
      <c r="B10" s="1643"/>
      <c r="C10" s="1644"/>
      <c r="D10" s="1644"/>
      <c r="E10" s="1644"/>
      <c r="F10" s="1644"/>
      <c r="G10" s="1644"/>
      <c r="H10" s="1644"/>
      <c r="I10" s="1644"/>
      <c r="J10" s="1644"/>
      <c r="K10" s="1644"/>
      <c r="O10" s="1644"/>
      <c r="P10" s="1644"/>
    </row>
    <row r="11" spans="1:18" ht="51.75">
      <c r="B11" s="1645" t="str">
        <f>"True up Revenue Requirement For Year "&amp;J11&amp;" Available May, "&amp;J12</f>
        <v>True up Revenue Requirement For Year 2018 Available May, 2019</v>
      </c>
      <c r="C11" s="1644"/>
      <c r="D11" s="1645" t="s">
        <v>1383</v>
      </c>
      <c r="E11" s="1646"/>
      <c r="F11" s="1647" t="s">
        <v>1098</v>
      </c>
      <c r="G11" s="926"/>
      <c r="H11" s="1648" t="s">
        <v>1099</v>
      </c>
      <c r="I11" s="1644"/>
      <c r="J11" s="1649">
        <f>+'PSO TCOS'!N2</f>
        <v>2018</v>
      </c>
      <c r="K11" s="1644"/>
      <c r="O11" s="926"/>
      <c r="P11" s="926"/>
    </row>
    <row r="12" spans="1:18" ht="15.75">
      <c r="B12" s="1650" t="s">
        <v>256</v>
      </c>
      <c r="C12" s="1644"/>
      <c r="D12" s="1650"/>
      <c r="E12" s="1646"/>
      <c r="F12" s="1651"/>
      <c r="G12" s="926"/>
      <c r="H12" s="1652" t="s">
        <v>1100</v>
      </c>
      <c r="I12" s="1653"/>
      <c r="J12" s="1654">
        <f>J11+1</f>
        <v>2019</v>
      </c>
      <c r="O12" s="926"/>
      <c r="P12" s="926"/>
    </row>
    <row r="13" spans="1:18" ht="16.5" thickBot="1">
      <c r="B13" s="650">
        <v>69149174.131643683</v>
      </c>
      <c r="C13" s="651" t="s">
        <v>1101</v>
      </c>
      <c r="D13" s="650">
        <v>94695978.070000067</v>
      </c>
      <c r="E13" s="652" t="s">
        <v>1102</v>
      </c>
      <c r="F13" s="653">
        <f>IF(B13=0,0,D13-B13)</f>
        <v>25546803.938356385</v>
      </c>
      <c r="G13" s="1655"/>
      <c r="H13" s="1656" t="s">
        <v>1103</v>
      </c>
      <c r="I13" s="1657"/>
      <c r="J13" s="1658">
        <f>J12+1</f>
        <v>2020</v>
      </c>
      <c r="O13" s="926"/>
      <c r="P13" s="926"/>
    </row>
    <row r="14" spans="1:18" ht="15.75">
      <c r="B14" s="1657"/>
      <c r="C14" s="1659"/>
      <c r="D14" s="1657"/>
      <c r="E14" s="1657"/>
      <c r="F14" s="1657"/>
      <c r="G14" s="1657"/>
      <c r="H14" s="926"/>
      <c r="I14" s="926"/>
      <c r="O14" s="926"/>
      <c r="P14" s="926"/>
    </row>
    <row r="15" spans="1:18" ht="16.5" thickBot="1">
      <c r="B15" s="1660"/>
      <c r="C15" s="1661"/>
      <c r="D15" s="1660"/>
      <c r="E15" s="1660"/>
      <c r="F15" s="1660"/>
      <c r="G15" s="1660"/>
      <c r="H15" s="1660"/>
      <c r="I15" s="1660"/>
      <c r="J15" s="1660"/>
      <c r="K15" s="1660"/>
      <c r="L15" s="1660"/>
      <c r="M15" s="1660"/>
      <c r="N15" s="1662"/>
      <c r="O15" s="1662"/>
      <c r="P15" s="1662"/>
    </row>
    <row r="16" spans="1:18" ht="15.75">
      <c r="B16" s="1663"/>
      <c r="C16" s="1659"/>
      <c r="D16" s="1657"/>
      <c r="E16" s="1657"/>
      <c r="F16" s="1657"/>
      <c r="G16" s="1657"/>
      <c r="H16" s="1657"/>
      <c r="I16" s="1657"/>
      <c r="J16" s="1657"/>
      <c r="K16" s="1657"/>
      <c r="L16" s="1657"/>
      <c r="M16" s="1657"/>
      <c r="N16" s="926"/>
      <c r="O16" s="926"/>
      <c r="P16" s="926"/>
    </row>
    <row r="17" spans="2:18" ht="63">
      <c r="B17" s="1664" t="s">
        <v>1104</v>
      </c>
      <c r="C17" s="1659"/>
      <c r="D17" s="1665" t="s">
        <v>1105</v>
      </c>
      <c r="E17" s="1665"/>
      <c r="F17" s="1665" t="s">
        <v>1106</v>
      </c>
      <c r="G17" s="1665"/>
      <c r="H17" s="1665" t="s">
        <v>1107</v>
      </c>
      <c r="I17" s="1657"/>
      <c r="J17" s="1666" t="s">
        <v>1108</v>
      </c>
      <c r="K17" s="1657"/>
      <c r="L17" s="1665" t="s">
        <v>1358</v>
      </c>
      <c r="M17" s="1667"/>
      <c r="N17" s="1666" t="s">
        <v>1109</v>
      </c>
      <c r="O17" s="1668"/>
      <c r="P17" s="1665" t="s">
        <v>1111</v>
      </c>
    </row>
    <row r="18" spans="2:18" ht="15.75">
      <c r="B18" s="1669"/>
      <c r="C18" s="1659"/>
      <c r="D18" s="926"/>
      <c r="E18" s="926"/>
      <c r="F18" s="926"/>
      <c r="G18" s="926"/>
      <c r="H18" s="926"/>
      <c r="I18" s="1670"/>
      <c r="J18" s="1670"/>
      <c r="K18" s="1670"/>
      <c r="N18" s="926"/>
      <c r="O18" s="926"/>
      <c r="P18" s="926"/>
    </row>
    <row r="19" spans="2:18" ht="15.75">
      <c r="B19" s="1697" t="s">
        <v>1112</v>
      </c>
      <c r="C19" s="1659"/>
      <c r="D19" s="1659"/>
      <c r="E19" s="1659"/>
      <c r="F19" s="1659"/>
      <c r="G19" s="1659"/>
      <c r="H19" s="1659"/>
      <c r="I19" s="1659"/>
      <c r="J19" s="1659"/>
      <c r="K19" s="1659"/>
      <c r="L19" s="926"/>
      <c r="M19" s="926"/>
      <c r="N19" s="1667"/>
      <c r="O19" s="1659"/>
      <c r="P19" s="1659"/>
    </row>
    <row r="20" spans="2:18" ht="15.75">
      <c r="B20" s="1672" t="s">
        <v>128</v>
      </c>
      <c r="C20" s="1659"/>
      <c r="D20" s="1659"/>
      <c r="E20" s="1659"/>
      <c r="F20" s="1659"/>
      <c r="G20" s="1659"/>
      <c r="H20" s="1659"/>
      <c r="I20" s="1659"/>
      <c r="J20" s="1659"/>
      <c r="K20" s="1659"/>
      <c r="L20" s="926"/>
      <c r="M20" s="926"/>
      <c r="N20" s="1667"/>
      <c r="O20" s="1659"/>
      <c r="P20" s="1659"/>
    </row>
    <row r="21" spans="2:18" ht="15.75">
      <c r="B21" s="1673">
        <f t="shared" ref="B21:B32" si="0">DATE($J$11,R21,1)</f>
        <v>43101</v>
      </c>
      <c r="C21" s="1644"/>
      <c r="D21" s="639">
        <f>F13/12</f>
        <v>2128900.3281963654</v>
      </c>
      <c r="E21" s="640"/>
      <c r="F21" s="639">
        <v>0</v>
      </c>
      <c r="G21" s="639"/>
      <c r="H21" s="639">
        <v>0</v>
      </c>
      <c r="I21" s="639"/>
      <c r="J21" s="639">
        <f>F21+H21</f>
        <v>0</v>
      </c>
      <c r="K21" s="640"/>
      <c r="L21" s="641">
        <f>+'PSO WS Q Interest Rate'!E13</f>
        <v>3.5999999999999999E-3</v>
      </c>
      <c r="M21" s="642"/>
      <c r="N21" s="639">
        <f t="shared" ref="N21:N32" si="1">J21*L21</f>
        <v>0</v>
      </c>
      <c r="O21" s="639"/>
      <c r="P21" s="639">
        <f>D21+N21</f>
        <v>2128900.3281963654</v>
      </c>
      <c r="R21" s="916">
        <v>1</v>
      </c>
    </row>
    <row r="22" spans="2:18" ht="15.75">
      <c r="B22" s="1673">
        <f t="shared" si="0"/>
        <v>43132</v>
      </c>
      <c r="C22" s="1644"/>
      <c r="D22" s="639">
        <f>+D21</f>
        <v>2128900.3281963654</v>
      </c>
      <c r="E22" s="640"/>
      <c r="F22" s="639">
        <f>D21</f>
        <v>2128900.3281963654</v>
      </c>
      <c r="G22" s="639"/>
      <c r="H22" s="639">
        <v>0</v>
      </c>
      <c r="I22" s="639"/>
      <c r="J22" s="639">
        <f t="shared" ref="J22:J31" si="2">F22+H22</f>
        <v>2128900.3281963654</v>
      </c>
      <c r="K22" s="640"/>
      <c r="L22" s="641">
        <f>+'PSO WS Q Interest Rate'!E14</f>
        <v>3.3E-3</v>
      </c>
      <c r="M22" s="642"/>
      <c r="N22" s="639">
        <f t="shared" si="1"/>
        <v>7025.3710830480059</v>
      </c>
      <c r="O22" s="639"/>
      <c r="P22" s="639">
        <f>SUM($D$21:D22)+SUM($N$21:N22)</f>
        <v>4264826.0274757789</v>
      </c>
      <c r="R22" s="916">
        <v>2</v>
      </c>
    </row>
    <row r="23" spans="2:18" ht="15.75">
      <c r="B23" s="1673">
        <f t="shared" si="0"/>
        <v>43160</v>
      </c>
      <c r="C23" s="1644"/>
      <c r="D23" s="639">
        <f>+D22</f>
        <v>2128900.3281963654</v>
      </c>
      <c r="E23" s="640"/>
      <c r="F23" s="639">
        <f>D22+F22</f>
        <v>4257800.6563927308</v>
      </c>
      <c r="G23" s="639"/>
      <c r="H23" s="639">
        <v>0</v>
      </c>
      <c r="I23" s="639"/>
      <c r="J23" s="639">
        <f t="shared" si="2"/>
        <v>4257800.6563927308</v>
      </c>
      <c r="K23" s="640"/>
      <c r="L23" s="641">
        <f>+'PSO WS Q Interest Rate'!E15</f>
        <v>3.5999999999999999E-3</v>
      </c>
      <c r="M23" s="642"/>
      <c r="N23" s="639">
        <f t="shared" si="1"/>
        <v>15328.082363013831</v>
      </c>
      <c r="O23" s="639"/>
      <c r="P23" s="639">
        <f>SUM($D$21:D23)+SUM($N$21:N23)</f>
        <v>6409054.4380351584</v>
      </c>
      <c r="R23" s="916">
        <v>3</v>
      </c>
    </row>
    <row r="24" spans="2:18" ht="15.75">
      <c r="B24" s="1673">
        <f t="shared" si="0"/>
        <v>43191</v>
      </c>
      <c r="C24" s="1644"/>
      <c r="D24" s="639">
        <f>+D23</f>
        <v>2128900.3281963654</v>
      </c>
      <c r="E24" s="640"/>
      <c r="F24" s="639">
        <f t="shared" ref="F24:F30" si="3">D23+F23</f>
        <v>6386700.9845890962</v>
      </c>
      <c r="G24" s="639"/>
      <c r="H24" s="639">
        <f>SUM($N$21:$N$23)</f>
        <v>22353.453446061838</v>
      </c>
      <c r="I24" s="639"/>
      <c r="J24" s="639">
        <f t="shared" si="2"/>
        <v>6409054.4380351584</v>
      </c>
      <c r="K24" s="640"/>
      <c r="L24" s="641">
        <f>+'PSO WS Q Interest Rate'!E16</f>
        <v>3.7000000000000002E-3</v>
      </c>
      <c r="M24" s="642"/>
      <c r="N24" s="639">
        <f t="shared" si="1"/>
        <v>23713.501420730088</v>
      </c>
      <c r="O24" s="639"/>
      <c r="P24" s="639">
        <f>SUM($D$21:D24)+SUM($N$21:N24)</f>
        <v>8561668.2676522527</v>
      </c>
      <c r="R24" s="916">
        <v>4</v>
      </c>
    </row>
    <row r="25" spans="2:18" ht="15.75">
      <c r="B25" s="1673">
        <f t="shared" si="0"/>
        <v>43221</v>
      </c>
      <c r="C25" s="1644"/>
      <c r="D25" s="639">
        <f t="shared" ref="D25:D30" si="4">+D24</f>
        <v>2128900.3281963654</v>
      </c>
      <c r="E25" s="640"/>
      <c r="F25" s="639">
        <f t="shared" si="3"/>
        <v>8515601.3127854615</v>
      </c>
      <c r="G25" s="639"/>
      <c r="H25" s="639">
        <f t="shared" ref="H25:H26" si="5">SUM($N$21:$N$23)</f>
        <v>22353.453446061838</v>
      </c>
      <c r="I25" s="639"/>
      <c r="J25" s="639">
        <f t="shared" si="2"/>
        <v>8537954.7662315238</v>
      </c>
      <c r="K25" s="640"/>
      <c r="L25" s="641">
        <f>+'PSO WS Q Interest Rate'!E17</f>
        <v>3.8E-3</v>
      </c>
      <c r="M25" s="642"/>
      <c r="N25" s="639">
        <f t="shared" si="1"/>
        <v>32444.228111679789</v>
      </c>
      <c r="O25" s="639"/>
      <c r="P25" s="639">
        <f>SUM($D$21:D25)+SUM($N$21:N25)</f>
        <v>10723012.823960299</v>
      </c>
      <c r="R25" s="916">
        <v>5</v>
      </c>
    </row>
    <row r="26" spans="2:18" ht="15.75">
      <c r="B26" s="1673">
        <f t="shared" si="0"/>
        <v>43252</v>
      </c>
      <c r="C26" s="1644"/>
      <c r="D26" s="639">
        <f t="shared" si="4"/>
        <v>2128900.3281963654</v>
      </c>
      <c r="E26" s="640"/>
      <c r="F26" s="639">
        <f t="shared" si="3"/>
        <v>10644501.640981827</v>
      </c>
      <c r="G26" s="639"/>
      <c r="H26" s="639">
        <f t="shared" si="5"/>
        <v>22353.453446061838</v>
      </c>
      <c r="I26" s="639"/>
      <c r="J26" s="639">
        <f t="shared" si="2"/>
        <v>10666855.094427889</v>
      </c>
      <c r="K26" s="640"/>
      <c r="L26" s="641">
        <f>+'PSO WS Q Interest Rate'!E18</f>
        <v>3.7000000000000002E-3</v>
      </c>
      <c r="M26" s="642"/>
      <c r="N26" s="639">
        <f t="shared" si="1"/>
        <v>39467.36384938319</v>
      </c>
      <c r="O26" s="639"/>
      <c r="P26" s="639">
        <f>SUM($D$21:D26)+SUM($N$21:N26)</f>
        <v>12891380.516006047</v>
      </c>
      <c r="R26" s="916">
        <v>6</v>
      </c>
    </row>
    <row r="27" spans="2:18" ht="15.75">
      <c r="B27" s="1673">
        <f t="shared" si="0"/>
        <v>43282</v>
      </c>
      <c r="C27" s="1644"/>
      <c r="D27" s="639">
        <f t="shared" si="4"/>
        <v>2128900.3281963654</v>
      </c>
      <c r="E27" s="640"/>
      <c r="F27" s="639">
        <f t="shared" si="3"/>
        <v>12773401.969178192</v>
      </c>
      <c r="G27" s="639"/>
      <c r="H27" s="639">
        <f>$H$26+SUM($N$24:$N$26)</f>
        <v>117978.54682785491</v>
      </c>
      <c r="I27" s="639"/>
      <c r="J27" s="639">
        <f t="shared" si="2"/>
        <v>12891380.516006047</v>
      </c>
      <c r="K27" s="640"/>
      <c r="L27" s="641">
        <f>+'PSO WS Q Interest Rate'!E19</f>
        <v>4.0000000000000001E-3</v>
      </c>
      <c r="M27" s="642"/>
      <c r="N27" s="639">
        <f t="shared" si="1"/>
        <v>51565.52206402419</v>
      </c>
      <c r="O27" s="639"/>
      <c r="P27" s="639">
        <f>SUM($D$21:D27)+SUM($N$21:N27)</f>
        <v>15071846.366266437</v>
      </c>
      <c r="R27" s="916">
        <v>7</v>
      </c>
    </row>
    <row r="28" spans="2:18" ht="15.75">
      <c r="B28" s="1673">
        <f t="shared" si="0"/>
        <v>43313</v>
      </c>
      <c r="C28" s="1644"/>
      <c r="D28" s="639">
        <f t="shared" si="4"/>
        <v>2128900.3281963654</v>
      </c>
      <c r="E28" s="640"/>
      <c r="F28" s="639">
        <f t="shared" si="3"/>
        <v>14902302.297374558</v>
      </c>
      <c r="G28" s="639"/>
      <c r="H28" s="639">
        <f>$H$26+SUM($N$24:$N$26)</f>
        <v>117978.54682785491</v>
      </c>
      <c r="I28" s="639"/>
      <c r="J28" s="639">
        <f t="shared" si="2"/>
        <v>15020280.844202412</v>
      </c>
      <c r="K28" s="640"/>
      <c r="L28" s="641">
        <f>+'PSO WS Q Interest Rate'!E20</f>
        <v>4.0000000000000001E-3</v>
      </c>
      <c r="M28" s="642"/>
      <c r="N28" s="639">
        <f t="shared" si="1"/>
        <v>60081.12337680965</v>
      </c>
      <c r="O28" s="639"/>
      <c r="P28" s="639">
        <f>SUM($D$21:D28)+SUM($N$21:N28)</f>
        <v>17260827.817839611</v>
      </c>
      <c r="R28" s="916">
        <v>8</v>
      </c>
    </row>
    <row r="29" spans="2:18" ht="15.75">
      <c r="B29" s="1673">
        <f t="shared" si="0"/>
        <v>43344</v>
      </c>
      <c r="C29" s="1644"/>
      <c r="D29" s="639">
        <f t="shared" si="4"/>
        <v>2128900.3281963654</v>
      </c>
      <c r="E29" s="640"/>
      <c r="F29" s="639">
        <f t="shared" si="3"/>
        <v>17031202.625570923</v>
      </c>
      <c r="G29" s="639"/>
      <c r="H29" s="639">
        <f>$H$26+SUM($N$24:$N$26)</f>
        <v>117978.54682785491</v>
      </c>
      <c r="I29" s="639"/>
      <c r="J29" s="639">
        <f t="shared" si="2"/>
        <v>17149181.17239878</v>
      </c>
      <c r="K29" s="640"/>
      <c r="L29" s="641">
        <f>+'PSO WS Q Interest Rate'!E21</f>
        <v>3.8999999999999998E-3</v>
      </c>
      <c r="M29" s="642"/>
      <c r="N29" s="639">
        <f t="shared" si="1"/>
        <v>66881.806572355243</v>
      </c>
      <c r="O29" s="639"/>
      <c r="P29" s="639">
        <f>SUM($D$21:D29)+SUM($N$21:N29)</f>
        <v>19456609.952608332</v>
      </c>
      <c r="R29" s="916">
        <v>9</v>
      </c>
    </row>
    <row r="30" spans="2:18" ht="15.75">
      <c r="B30" s="1673">
        <f t="shared" si="0"/>
        <v>43374</v>
      </c>
      <c r="C30" s="1644"/>
      <c r="D30" s="639">
        <f t="shared" si="4"/>
        <v>2128900.3281963654</v>
      </c>
      <c r="E30" s="640"/>
      <c r="F30" s="639">
        <f t="shared" si="3"/>
        <v>19160102.953767288</v>
      </c>
      <c r="G30" s="639"/>
      <c r="H30" s="639">
        <f>$H$29+SUM($N$27:$N$29)</f>
        <v>296506.99884104403</v>
      </c>
      <c r="I30" s="639"/>
      <c r="J30" s="639">
        <f t="shared" si="2"/>
        <v>19456609.952608332</v>
      </c>
      <c r="K30" s="640"/>
      <c r="L30" s="641">
        <f>+'PSO WS Q Interest Rate'!E22</f>
        <v>4.1999999999999997E-3</v>
      </c>
      <c r="M30" s="642"/>
      <c r="N30" s="639">
        <f t="shared" si="1"/>
        <v>81717.761800954991</v>
      </c>
      <c r="O30" s="639"/>
      <c r="P30" s="639">
        <f>SUM($D$21:D30)+SUM($N$21:N30)</f>
        <v>21667228.042605653</v>
      </c>
      <c r="R30" s="916">
        <v>10</v>
      </c>
    </row>
    <row r="31" spans="2:18" ht="15.75">
      <c r="B31" s="1673">
        <f t="shared" si="0"/>
        <v>43405</v>
      </c>
      <c r="C31" s="1644"/>
      <c r="D31" s="639">
        <f>+D30</f>
        <v>2128900.3281963654</v>
      </c>
      <c r="E31" s="640"/>
      <c r="F31" s="639">
        <f>D30+F30</f>
        <v>21289003.281963654</v>
      </c>
      <c r="G31" s="639"/>
      <c r="H31" s="639">
        <f>$H$29+SUM($N$27:$N$29)</f>
        <v>296506.99884104403</v>
      </c>
      <c r="I31" s="639"/>
      <c r="J31" s="639">
        <f t="shared" si="2"/>
        <v>21585510.280804697</v>
      </c>
      <c r="K31" s="640"/>
      <c r="L31" s="641">
        <f>+'PSO WS Q Interest Rate'!E23</f>
        <v>4.1000000000000003E-3</v>
      </c>
      <c r="M31" s="642"/>
      <c r="N31" s="639">
        <f t="shared" si="1"/>
        <v>88500.592151299265</v>
      </c>
      <c r="O31" s="639"/>
      <c r="P31" s="639">
        <f>SUM($D$21:D31)+SUM($N$21:N31)</f>
        <v>23884628.962953318</v>
      </c>
      <c r="R31" s="916">
        <v>11</v>
      </c>
    </row>
    <row r="32" spans="2:18" ht="15.75">
      <c r="B32" s="1673">
        <f t="shared" si="0"/>
        <v>43435</v>
      </c>
      <c r="C32" s="1644"/>
      <c r="D32" s="639">
        <f>+D31</f>
        <v>2128900.3281963654</v>
      </c>
      <c r="E32" s="640"/>
      <c r="F32" s="639">
        <f>D31+F31</f>
        <v>23417903.610160019</v>
      </c>
      <c r="G32" s="639"/>
      <c r="H32" s="639">
        <f>$H$29+SUM($N$27:$N$29)</f>
        <v>296506.99884104403</v>
      </c>
      <c r="I32" s="639"/>
      <c r="J32" s="639">
        <f>F32+H32</f>
        <v>23714410.609001063</v>
      </c>
      <c r="K32" s="640"/>
      <c r="L32" s="641">
        <f>+'PSO WS Q Interest Rate'!E24</f>
        <v>4.1999999999999997E-3</v>
      </c>
      <c r="M32" s="642"/>
      <c r="N32" s="639">
        <f t="shared" si="1"/>
        <v>99600.524557804456</v>
      </c>
      <c r="O32" s="639"/>
      <c r="P32" s="639">
        <f>SUM($D$21:D32)+SUM($N$21:N32)</f>
        <v>26113129.815707486</v>
      </c>
      <c r="R32" s="916">
        <v>12</v>
      </c>
    </row>
    <row r="33" spans="2:20" ht="15.75">
      <c r="B33" s="1644"/>
      <c r="C33" s="1644"/>
      <c r="D33" s="639"/>
      <c r="E33" s="640"/>
      <c r="F33" s="639"/>
      <c r="G33" s="639"/>
      <c r="H33" s="639"/>
      <c r="I33" s="639"/>
      <c r="J33" s="639"/>
      <c r="K33" s="640"/>
      <c r="L33" s="1659"/>
      <c r="M33" s="1644"/>
      <c r="N33" s="648"/>
      <c r="O33" s="639"/>
      <c r="P33" s="1674"/>
    </row>
    <row r="34" spans="2:20" ht="15.75">
      <c r="B34" s="1672" t="s">
        <v>1113</v>
      </c>
      <c r="C34" s="1644"/>
      <c r="D34" s="639"/>
      <c r="E34" s="640"/>
      <c r="F34" s="639"/>
      <c r="G34" s="639"/>
      <c r="H34" s="639"/>
      <c r="I34" s="639"/>
      <c r="J34" s="639"/>
      <c r="K34" s="640"/>
      <c r="L34" s="1659"/>
      <c r="M34" s="1644"/>
      <c r="N34" s="639"/>
      <c r="O34" s="639"/>
      <c r="P34" s="1675"/>
    </row>
    <row r="35" spans="2:20" ht="15.75">
      <c r="B35" s="1673">
        <f t="shared" ref="B35:B40" si="6">DATE($J$12,R35,1)</f>
        <v>43466</v>
      </c>
      <c r="C35" s="1644"/>
      <c r="D35" s="639">
        <v>0</v>
      </c>
      <c r="E35" s="640"/>
      <c r="F35" s="639">
        <f>D32+F32</f>
        <v>25546803.938356385</v>
      </c>
      <c r="G35" s="639"/>
      <c r="H35" s="639">
        <f>$H$32+SUM($N$30:$N$32)</f>
        <v>566325.87735110277</v>
      </c>
      <c r="I35" s="639"/>
      <c r="J35" s="639">
        <f>F35+H35</f>
        <v>26113129.815707486</v>
      </c>
      <c r="K35" s="640"/>
      <c r="L35" s="641">
        <f>+'PSO WS Q Interest Rate'!E25</f>
        <v>4.4000000000000003E-3</v>
      </c>
      <c r="M35" s="642"/>
      <c r="N35" s="639">
        <f t="shared" ref="N35:N40" si="7">J35*L35</f>
        <v>114897.77118911294</v>
      </c>
      <c r="O35" s="639"/>
      <c r="P35" s="639">
        <f>SUM($D$21:D35)+SUM($N$21:N35)</f>
        <v>26228027.586896602</v>
      </c>
      <c r="R35" s="916">
        <v>1</v>
      </c>
    </row>
    <row r="36" spans="2:20" ht="15.75">
      <c r="B36" s="1673">
        <f t="shared" si="6"/>
        <v>43497</v>
      </c>
      <c r="C36" s="1644"/>
      <c r="D36" s="639">
        <v>0</v>
      </c>
      <c r="E36" s="640"/>
      <c r="F36" s="639">
        <f>D35+F35</f>
        <v>25546803.938356385</v>
      </c>
      <c r="G36" s="639"/>
      <c r="H36" s="639">
        <f>$H$32+SUM($N$30:$N$32)</f>
        <v>566325.87735110277</v>
      </c>
      <c r="I36" s="639"/>
      <c r="J36" s="639">
        <f>F36+H36</f>
        <v>26113129.815707486</v>
      </c>
      <c r="K36" s="640"/>
      <c r="L36" s="641">
        <f>+'PSO WS Q Interest Rate'!E26</f>
        <v>4.0000000000000001E-3</v>
      </c>
      <c r="M36" s="642"/>
      <c r="N36" s="639">
        <f t="shared" si="7"/>
        <v>104452.51926282994</v>
      </c>
      <c r="O36" s="639"/>
      <c r="P36" s="639">
        <f>SUM($D$21:D36)+SUM($N$21:N36)</f>
        <v>26332480.10615943</v>
      </c>
      <c r="R36" s="916">
        <v>2</v>
      </c>
    </row>
    <row r="37" spans="2:20" ht="15.75">
      <c r="B37" s="1673">
        <f t="shared" si="6"/>
        <v>43525</v>
      </c>
      <c r="C37" s="1644"/>
      <c r="D37" s="639">
        <v>0</v>
      </c>
      <c r="E37" s="640"/>
      <c r="F37" s="639">
        <f t="shared" ref="F37:F40" si="8">D36+F36</f>
        <v>25546803.938356385</v>
      </c>
      <c r="G37" s="639"/>
      <c r="H37" s="639">
        <f>$H$32+SUM($N$30:$N$32)</f>
        <v>566325.87735110277</v>
      </c>
      <c r="I37" s="639"/>
      <c r="J37" s="639">
        <f t="shared" ref="J37:J40" si="9">F37+H37</f>
        <v>26113129.815707486</v>
      </c>
      <c r="K37" s="640"/>
      <c r="L37" s="641">
        <f>+'PSO WS Q Interest Rate'!E27</f>
        <v>4.4000000000000003E-3</v>
      </c>
      <c r="M37" s="642"/>
      <c r="N37" s="639">
        <f t="shared" si="7"/>
        <v>114897.77118911294</v>
      </c>
      <c r="O37" s="639"/>
      <c r="P37" s="639">
        <f>SUM($D$21:D37)+SUM($N$21:N37)</f>
        <v>26447377.877348542</v>
      </c>
      <c r="R37" s="916">
        <v>3</v>
      </c>
    </row>
    <row r="38" spans="2:20" ht="15.75">
      <c r="B38" s="1673">
        <f t="shared" si="6"/>
        <v>43556</v>
      </c>
      <c r="C38" s="1644"/>
      <c r="D38" s="639">
        <v>0</v>
      </c>
      <c r="E38" s="640"/>
      <c r="F38" s="639">
        <f t="shared" si="8"/>
        <v>25546803.938356385</v>
      </c>
      <c r="G38" s="639"/>
      <c r="H38" s="639">
        <f>$H$37+SUM($N$35:$N$37)</f>
        <v>900573.93899215863</v>
      </c>
      <c r="I38" s="639"/>
      <c r="J38" s="639">
        <f>F38+H38</f>
        <v>26447377.877348542</v>
      </c>
      <c r="K38" s="640"/>
      <c r="L38" s="641">
        <f>+'PSO WS Q Interest Rate'!E28</f>
        <v>4.4999999999999997E-3</v>
      </c>
      <c r="M38" s="642"/>
      <c r="N38" s="639">
        <f t="shared" si="7"/>
        <v>119013.20044806843</v>
      </c>
      <c r="O38" s="639"/>
      <c r="P38" s="639">
        <f>SUM($D$21:D38)+SUM($N$21:N38)</f>
        <v>26566391.077796612</v>
      </c>
      <c r="R38" s="916">
        <v>4</v>
      </c>
    </row>
    <row r="39" spans="2:20" ht="15.75">
      <c r="B39" s="1673">
        <f t="shared" si="6"/>
        <v>43586</v>
      </c>
      <c r="C39" s="1644"/>
      <c r="D39" s="639">
        <v>0</v>
      </c>
      <c r="E39" s="640"/>
      <c r="F39" s="639">
        <f t="shared" si="8"/>
        <v>25546803.938356385</v>
      </c>
      <c r="G39" s="639"/>
      <c r="H39" s="639">
        <f>$H$37+SUM($N$35:$N$37)</f>
        <v>900573.93899215863</v>
      </c>
      <c r="I39" s="639"/>
      <c r="J39" s="639">
        <f t="shared" si="9"/>
        <v>26447377.877348542</v>
      </c>
      <c r="K39" s="640"/>
      <c r="L39" s="641">
        <f>+'PSO WS Q Interest Rate'!E29</f>
        <v>4.5999999999999999E-3</v>
      </c>
      <c r="M39" s="642"/>
      <c r="N39" s="639">
        <f t="shared" si="7"/>
        <v>121657.93823580329</v>
      </c>
      <c r="O39" s="639"/>
      <c r="P39" s="639">
        <f>SUM($D$21:D39)+SUM($N$21:N39)</f>
        <v>26688049.016032416</v>
      </c>
      <c r="R39" s="916">
        <v>5</v>
      </c>
    </row>
    <row r="40" spans="2:20" ht="16.5" thickBot="1">
      <c r="B40" s="1683">
        <f t="shared" si="6"/>
        <v>43617</v>
      </c>
      <c r="C40" s="1684"/>
      <c r="D40" s="643">
        <v>0</v>
      </c>
      <c r="E40" s="644"/>
      <c r="F40" s="643">
        <f t="shared" si="8"/>
        <v>25546803.938356385</v>
      </c>
      <c r="G40" s="643"/>
      <c r="H40" s="643">
        <f>$H$37+SUM($N$35:$N$37)</f>
        <v>900573.93899215863</v>
      </c>
      <c r="I40" s="643"/>
      <c r="J40" s="643">
        <f t="shared" si="9"/>
        <v>26447377.877348542</v>
      </c>
      <c r="K40" s="644"/>
      <c r="L40" s="645">
        <f>+'PSO WS Q Interest Rate'!E30</f>
        <v>4.4999999999999997E-3</v>
      </c>
      <c r="M40" s="646"/>
      <c r="N40" s="643">
        <f t="shared" si="7"/>
        <v>119013.20044806843</v>
      </c>
      <c r="O40" s="643"/>
      <c r="P40" s="643">
        <f>SUM($D$21:D40)+SUM($N$21:N40)</f>
        <v>26807062.216480482</v>
      </c>
      <c r="R40" s="916">
        <v>6</v>
      </c>
    </row>
    <row r="41" spans="2:20" ht="15.75">
      <c r="B41" s="1644"/>
      <c r="C41" s="1644"/>
      <c r="D41" s="1657"/>
      <c r="E41" s="1657"/>
      <c r="F41" s="1657"/>
      <c r="G41" s="1657"/>
      <c r="H41" s="1657"/>
      <c r="I41" s="1657"/>
      <c r="J41" s="1657"/>
      <c r="K41" s="1657"/>
      <c r="L41" s="1644"/>
      <c r="M41" s="1644"/>
      <c r="N41" s="639"/>
      <c r="O41" s="639"/>
      <c r="P41" s="639"/>
    </row>
    <row r="42" spans="2:20" ht="15">
      <c r="B42" s="926"/>
      <c r="C42" s="926"/>
      <c r="D42" s="926"/>
      <c r="E42" s="926"/>
      <c r="F42" s="926"/>
      <c r="G42" s="926"/>
      <c r="H42" s="926"/>
      <c r="I42" s="926"/>
      <c r="J42" s="926"/>
      <c r="K42" s="926"/>
      <c r="L42" s="926"/>
      <c r="M42" s="926"/>
      <c r="N42" s="1675"/>
      <c r="O42" s="1675"/>
      <c r="P42" s="1675"/>
    </row>
    <row r="43" spans="2:20" ht="15.75">
      <c r="B43" s="1685" t="s">
        <v>1115</v>
      </c>
      <c r="C43" s="1686"/>
      <c r="D43" s="1686"/>
      <c r="E43" s="1686"/>
      <c r="F43" s="1686"/>
      <c r="G43" s="1686"/>
      <c r="H43" s="1686"/>
      <c r="I43" s="1686"/>
      <c r="J43" s="1686"/>
      <c r="K43" s="1686"/>
      <c r="L43" s="1686"/>
      <c r="M43" s="1686"/>
      <c r="N43" s="1698"/>
      <c r="O43" s="1687"/>
      <c r="P43" s="647">
        <f>P40</f>
        <v>26807062.216480482</v>
      </c>
    </row>
    <row r="44" spans="2:20" ht="15.75">
      <c r="B44" s="1688" t="s">
        <v>1116</v>
      </c>
      <c r="C44" s="1689"/>
      <c r="D44" s="1689"/>
      <c r="E44" s="1689"/>
      <c r="F44" s="1689"/>
      <c r="G44" s="1689"/>
      <c r="H44" s="1689"/>
      <c r="I44" s="1689"/>
      <c r="J44" s="1689"/>
      <c r="K44" s="1689"/>
      <c r="L44" s="1689"/>
      <c r="M44" s="1689"/>
      <c r="N44" s="1699"/>
      <c r="O44" s="1690"/>
      <c r="P44" s="648">
        <f>+F13</f>
        <v>25546803.938356385</v>
      </c>
    </row>
    <row r="45" spans="2:20" ht="15.75">
      <c r="B45" s="1691" t="s">
        <v>1117</v>
      </c>
      <c r="C45" s="1692"/>
      <c r="D45" s="1692"/>
      <c r="E45" s="1692"/>
      <c r="F45" s="1692"/>
      <c r="G45" s="1692"/>
      <c r="H45" s="1692"/>
      <c r="I45" s="1692"/>
      <c r="J45" s="1692"/>
      <c r="K45" s="1692"/>
      <c r="L45" s="1692"/>
      <c r="M45" s="1692"/>
      <c r="N45" s="1700"/>
      <c r="O45" s="1693"/>
      <c r="P45" s="649">
        <f>P43-P44</f>
        <v>1260258.2781240977</v>
      </c>
    </row>
    <row r="46" spans="2:20">
      <c r="B46" s="791"/>
      <c r="C46" s="791"/>
      <c r="D46" s="791"/>
      <c r="E46" s="791"/>
      <c r="F46" s="791"/>
      <c r="G46" s="791"/>
      <c r="H46" s="791"/>
      <c r="I46" s="791"/>
      <c r="J46" s="791"/>
      <c r="K46" s="791"/>
      <c r="L46" s="791"/>
      <c r="M46" s="791"/>
      <c r="N46" s="791"/>
      <c r="O46" s="791"/>
      <c r="P46" s="791"/>
    </row>
    <row r="47" spans="2:20" ht="15.75">
      <c r="B47" s="2525" t="s">
        <v>1350</v>
      </c>
      <c r="C47" s="2525"/>
      <c r="D47" s="2525"/>
      <c r="E47" s="2525"/>
      <c r="F47" s="2525"/>
      <c r="G47" s="2525"/>
      <c r="H47" s="2525"/>
      <c r="I47" s="2525"/>
      <c r="J47" s="2525"/>
      <c r="K47" s="2525"/>
      <c r="L47" s="2525"/>
      <c r="M47" s="2525"/>
      <c r="N47" s="2525"/>
      <c r="O47" s="1694"/>
      <c r="P47" s="1694"/>
      <c r="T47" s="1677"/>
    </row>
    <row r="48" spans="2:20" ht="17.25" customHeight="1">
      <c r="B48" s="2525"/>
      <c r="C48" s="2525"/>
      <c r="D48" s="2525"/>
      <c r="E48" s="2525"/>
      <c r="F48" s="2525"/>
      <c r="G48" s="2525"/>
      <c r="H48" s="2525"/>
      <c r="I48" s="2525"/>
      <c r="J48" s="2525"/>
      <c r="K48" s="2525"/>
      <c r="L48" s="2525"/>
      <c r="M48" s="2525"/>
      <c r="N48" s="2525"/>
      <c r="O48" s="791"/>
      <c r="P48" s="791"/>
    </row>
    <row r="50" spans="2:14">
      <c r="B50" s="2521" t="s">
        <v>1352</v>
      </c>
      <c r="C50" s="2521"/>
      <c r="D50" s="2521"/>
      <c r="E50" s="2521"/>
      <c r="F50" s="2521"/>
      <c r="G50" s="2521"/>
      <c r="H50" s="2521"/>
      <c r="I50" s="2521"/>
      <c r="J50" s="2521"/>
      <c r="K50" s="2521"/>
      <c r="L50" s="2521"/>
      <c r="M50" s="2521"/>
      <c r="N50" s="2521"/>
    </row>
    <row r="51" spans="2:14" ht="21.75" customHeight="1">
      <c r="B51" s="2521"/>
      <c r="C51" s="2521"/>
      <c r="D51" s="2521"/>
      <c r="E51" s="2521"/>
      <c r="F51" s="2521"/>
      <c r="G51" s="2521"/>
      <c r="H51" s="2521"/>
      <c r="I51" s="2521"/>
      <c r="J51" s="2521"/>
      <c r="K51" s="2521"/>
      <c r="L51" s="2521"/>
      <c r="M51" s="2521"/>
      <c r="N51" s="2521"/>
    </row>
    <row r="53" spans="2:14" ht="15.75">
      <c r="B53" s="1669"/>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28" zoomScaleNormal="100" workbookViewId="0">
      <selection activeCell="J38" sqref="J38"/>
    </sheetView>
  </sheetViews>
  <sheetFormatPr defaultColWidth="9.140625" defaultRowHeight="12.75"/>
  <cols>
    <col min="1" max="1" width="1.7109375" style="393" customWidth="1"/>
    <col min="2" max="2" width="25.140625" style="393" customWidth="1"/>
    <col min="3" max="3" width="1.7109375" style="393" customWidth="1"/>
    <col min="4" max="4" width="22.5703125" style="393" customWidth="1"/>
    <col min="5" max="5" width="1.7109375" style="393" customWidth="1"/>
    <col min="6" max="6" width="24.85546875" style="393" customWidth="1"/>
    <col min="7" max="7" width="1.7109375" style="393" customWidth="1"/>
    <col min="8" max="8" width="21.42578125" style="393" customWidth="1"/>
    <col min="9" max="9" width="1.7109375" style="393" customWidth="1"/>
    <col min="10" max="10" width="21" style="393" customWidth="1"/>
    <col min="11" max="11" width="1.7109375" style="393" customWidth="1"/>
    <col min="12" max="12" width="18.28515625" style="393" customWidth="1"/>
    <col min="13" max="13" width="1.7109375" style="393" customWidth="1"/>
    <col min="14" max="14" width="17" style="393" customWidth="1"/>
    <col min="15" max="15" width="1.7109375" style="393" customWidth="1"/>
    <col min="16" max="16" width="18.140625" style="393" customWidth="1"/>
    <col min="17" max="17" width="7.7109375" style="393" bestFit="1" customWidth="1"/>
    <col min="18" max="18" width="3" style="393" hidden="1" customWidth="1"/>
    <col min="19" max="19" width="9.140625" style="393"/>
    <col min="20" max="20" width="3" style="393" bestFit="1" customWidth="1"/>
    <col min="21" max="16384" width="9.140625" style="393"/>
  </cols>
  <sheetData>
    <row r="1" spans="1:18" ht="15">
      <c r="A1" s="454"/>
    </row>
    <row r="2" spans="1:18" ht="15.75">
      <c r="A2" s="455"/>
    </row>
    <row r="3" spans="1:18" ht="15.75">
      <c r="A3" s="455"/>
    </row>
    <row r="4" spans="1:18" ht="15.75">
      <c r="B4" s="2527" t="s">
        <v>878</v>
      </c>
      <c r="C4" s="2527"/>
      <c r="D4" s="2527"/>
      <c r="E4" s="2527"/>
      <c r="F4" s="2527"/>
      <c r="G4" s="2527"/>
      <c r="H4" s="2527"/>
      <c r="I4" s="2527"/>
      <c r="J4" s="2527"/>
      <c r="K4" s="2527"/>
      <c r="L4" s="2527"/>
      <c r="M4" s="2527"/>
      <c r="N4" s="2527"/>
      <c r="O4" s="2527"/>
      <c r="P4" s="2527"/>
    </row>
    <row r="5" spans="1:18" ht="15.75">
      <c r="B5" s="2528" t="str">
        <f>+'PSO WS A-1 - Plant'!A3</f>
        <v xml:space="preserve">Actual / Projected 2018 Rate Year Cost of Service Formula Rate </v>
      </c>
      <c r="C5" s="2528"/>
      <c r="D5" s="2528"/>
      <c r="E5" s="2528"/>
      <c r="F5" s="2528"/>
      <c r="G5" s="2528"/>
      <c r="H5" s="2528"/>
      <c r="I5" s="2528"/>
      <c r="J5" s="2528"/>
      <c r="K5" s="2528"/>
      <c r="L5" s="2528"/>
      <c r="M5" s="2528"/>
      <c r="N5" s="2528"/>
      <c r="O5" s="2528"/>
      <c r="P5" s="2528"/>
    </row>
    <row r="6" spans="1:18" ht="15.75">
      <c r="B6" s="2529" t="s">
        <v>1354</v>
      </c>
      <c r="C6" s="2529"/>
      <c r="D6" s="2529"/>
      <c r="E6" s="2529"/>
      <c r="F6" s="2529"/>
      <c r="G6" s="2529"/>
      <c r="H6" s="2529"/>
      <c r="I6" s="2529"/>
      <c r="J6" s="2529"/>
      <c r="K6" s="2529"/>
      <c r="L6" s="2529"/>
      <c r="M6" s="2529"/>
      <c r="N6" s="2529"/>
      <c r="O6" s="2529"/>
      <c r="P6" s="2529"/>
    </row>
    <row r="7" spans="1:18" ht="15.75">
      <c r="B7" s="2530" t="str">
        <f>+'PSO TCOS'!F8</f>
        <v>PUBLIC SERVICE COMPANY OF OKLAHOMA</v>
      </c>
      <c r="C7" s="2530"/>
      <c r="D7" s="2530"/>
      <c r="E7" s="2530"/>
      <c r="F7" s="2530"/>
      <c r="G7" s="2530"/>
      <c r="H7" s="2530"/>
      <c r="I7" s="2530"/>
      <c r="J7" s="2530"/>
      <c r="K7" s="2530"/>
      <c r="L7" s="2530"/>
      <c r="M7" s="2530"/>
      <c r="N7" s="2530"/>
      <c r="O7" s="2530"/>
      <c r="P7" s="2530"/>
      <c r="Q7" s="456"/>
      <c r="R7" s="456"/>
    </row>
    <row r="8" spans="1:18">
      <c r="B8" s="457"/>
      <c r="C8" s="457"/>
      <c r="D8" s="457"/>
      <c r="E8" s="457"/>
      <c r="F8" s="457"/>
      <c r="G8" s="457"/>
      <c r="H8" s="457"/>
      <c r="I8" s="457"/>
      <c r="J8" s="457"/>
      <c r="K8" s="457"/>
      <c r="L8" s="457"/>
      <c r="M8" s="457"/>
      <c r="N8" s="457"/>
      <c r="O8" s="457"/>
      <c r="P8" s="457"/>
    </row>
    <row r="9" spans="1:18">
      <c r="B9" s="457"/>
      <c r="C9" s="457"/>
      <c r="D9" s="457"/>
      <c r="E9" s="457"/>
      <c r="F9" s="457"/>
      <c r="G9" s="457"/>
      <c r="H9" s="457"/>
      <c r="I9" s="457"/>
      <c r="J9" s="457"/>
      <c r="K9" s="457"/>
      <c r="L9" s="457"/>
      <c r="M9" s="457"/>
      <c r="N9" s="457"/>
      <c r="O9" s="457"/>
      <c r="P9" s="457"/>
    </row>
    <row r="10" spans="1:18" ht="16.5" thickBot="1">
      <c r="B10" s="458"/>
      <c r="C10" s="459"/>
      <c r="D10" s="459"/>
      <c r="E10" s="459"/>
      <c r="F10" s="459"/>
      <c r="G10" s="459"/>
      <c r="H10" s="459"/>
      <c r="I10" s="459"/>
      <c r="J10" s="459"/>
      <c r="K10" s="459"/>
      <c r="O10" s="459"/>
      <c r="P10" s="459"/>
    </row>
    <row r="11" spans="1:18" ht="51.75">
      <c r="B11" s="525" t="str">
        <f>"True up Revenue Requirement For Year "&amp;J11&amp;" Available May, "&amp;J12</f>
        <v>True up Revenue Requirement For Year 2018 Available May, 2019</v>
      </c>
      <c r="C11" s="459"/>
      <c r="D11" s="525" t="s">
        <v>1384</v>
      </c>
      <c r="E11" s="461"/>
      <c r="F11" s="460" t="s">
        <v>1098</v>
      </c>
      <c r="G11" s="462"/>
      <c r="H11" s="463" t="s">
        <v>1099</v>
      </c>
      <c r="I11" s="459"/>
      <c r="J11" s="524">
        <f>+'PSO TCOS'!N2</f>
        <v>2018</v>
      </c>
      <c r="K11" s="459"/>
      <c r="O11" s="462"/>
      <c r="P11" s="462"/>
    </row>
    <row r="12" spans="1:18" ht="15.75">
      <c r="B12" s="464" t="s">
        <v>256</v>
      </c>
      <c r="C12" s="459"/>
      <c r="D12" s="464"/>
      <c r="E12" s="461"/>
      <c r="F12" s="465"/>
      <c r="G12" s="462"/>
      <c r="H12" s="466" t="s">
        <v>1100</v>
      </c>
      <c r="I12" s="467"/>
      <c r="J12" s="468">
        <f>J11+1</f>
        <v>2019</v>
      </c>
      <c r="O12" s="462"/>
      <c r="P12" s="462"/>
    </row>
    <row r="13" spans="1:18" ht="16.5" thickBot="1">
      <c r="B13" s="650">
        <f>+'Sch 1 Rates'!J22</f>
        <v>317991.41334719979</v>
      </c>
      <c r="C13" s="651" t="s">
        <v>1101</v>
      </c>
      <c r="D13" s="650">
        <v>271506.77865280001</v>
      </c>
      <c r="E13" s="652" t="s">
        <v>1102</v>
      </c>
      <c r="F13" s="653">
        <f>IF(B13=0,0,D13-B13)</f>
        <v>-46484.634694399778</v>
      </c>
      <c r="G13" s="469"/>
      <c r="H13" s="470" t="s">
        <v>1103</v>
      </c>
      <c r="I13" s="471"/>
      <c r="J13" s="472">
        <f>J12+1</f>
        <v>2020</v>
      </c>
      <c r="O13" s="462"/>
      <c r="P13" s="462"/>
    </row>
    <row r="14" spans="1:18" ht="15.75">
      <c r="B14" s="471"/>
      <c r="C14" s="473"/>
      <c r="D14" s="471"/>
      <c r="E14" s="471"/>
      <c r="F14" s="471"/>
      <c r="G14" s="471"/>
      <c r="H14" s="462"/>
      <c r="I14" s="462"/>
      <c r="O14" s="462"/>
      <c r="P14" s="462"/>
    </row>
    <row r="15" spans="1:18" ht="16.5" thickBot="1">
      <c r="B15" s="474"/>
      <c r="C15" s="475"/>
      <c r="D15" s="474"/>
      <c r="E15" s="474"/>
      <c r="F15" s="474"/>
      <c r="G15" s="474"/>
      <c r="H15" s="474"/>
      <c r="I15" s="474"/>
      <c r="J15" s="474"/>
      <c r="K15" s="474"/>
      <c r="L15" s="474"/>
      <c r="M15" s="474"/>
      <c r="N15" s="476"/>
      <c r="O15" s="476"/>
      <c r="P15" s="476"/>
    </row>
    <row r="16" spans="1:18" ht="15.75">
      <c r="B16" s="477"/>
      <c r="C16" s="473"/>
      <c r="D16" s="471"/>
      <c r="E16" s="471"/>
      <c r="F16" s="471"/>
      <c r="G16" s="471"/>
      <c r="H16" s="471"/>
      <c r="I16" s="471"/>
      <c r="J16" s="471"/>
      <c r="K16" s="471"/>
      <c r="L16" s="471"/>
      <c r="M16" s="471"/>
      <c r="N16" s="462"/>
      <c r="O16" s="462"/>
      <c r="P16" s="462"/>
    </row>
    <row r="17" spans="2:18" ht="63">
      <c r="B17" s="478" t="s">
        <v>1104</v>
      </c>
      <c r="C17" s="473"/>
      <c r="D17" s="479" t="s">
        <v>1105</v>
      </c>
      <c r="E17" s="479"/>
      <c r="F17" s="479" t="s">
        <v>1106</v>
      </c>
      <c r="G17" s="479"/>
      <c r="H17" s="479" t="s">
        <v>1107</v>
      </c>
      <c r="I17" s="471"/>
      <c r="J17" s="480" t="s">
        <v>1108</v>
      </c>
      <c r="K17" s="471"/>
      <c r="L17" s="479" t="s">
        <v>1358</v>
      </c>
      <c r="M17" s="481"/>
      <c r="N17" s="480" t="s">
        <v>1109</v>
      </c>
      <c r="O17" s="482"/>
      <c r="P17" s="479" t="s">
        <v>1111</v>
      </c>
    </row>
    <row r="18" spans="2:18" ht="15.75">
      <c r="B18" s="483"/>
      <c r="C18" s="473"/>
      <c r="D18" s="462"/>
      <c r="E18" s="462"/>
      <c r="F18" s="462"/>
      <c r="G18" s="462"/>
      <c r="H18" s="462"/>
      <c r="I18" s="484"/>
      <c r="J18" s="484"/>
      <c r="K18" s="484"/>
      <c r="L18" s="628"/>
      <c r="M18" s="628"/>
      <c r="N18" s="462"/>
      <c r="O18" s="462"/>
      <c r="P18" s="462"/>
    </row>
    <row r="19" spans="2:18" ht="15.75">
      <c r="B19" s="485" t="s">
        <v>1112</v>
      </c>
      <c r="C19" s="473"/>
      <c r="D19" s="473"/>
      <c r="E19" s="473"/>
      <c r="F19" s="473"/>
      <c r="G19" s="473"/>
      <c r="H19" s="473"/>
      <c r="I19" s="473"/>
      <c r="J19" s="473"/>
      <c r="K19" s="473"/>
      <c r="L19" s="462"/>
      <c r="M19" s="462"/>
      <c r="N19" s="481"/>
      <c r="O19" s="473"/>
      <c r="P19" s="473"/>
    </row>
    <row r="20" spans="2:18" ht="15.75">
      <c r="B20" s="486" t="s">
        <v>128</v>
      </c>
      <c r="C20" s="473"/>
      <c r="D20" s="473"/>
      <c r="E20" s="473"/>
      <c r="F20" s="473"/>
      <c r="G20" s="473"/>
      <c r="H20" s="473"/>
      <c r="I20" s="473"/>
      <c r="J20" s="473"/>
      <c r="K20" s="473"/>
      <c r="L20" s="462"/>
      <c r="M20" s="462"/>
      <c r="N20" s="481"/>
      <c r="O20" s="473"/>
      <c r="P20" s="473"/>
    </row>
    <row r="21" spans="2:18" ht="15.75">
      <c r="B21" s="487">
        <f t="shared" ref="B21:B32" si="0">DATE($J$11,R21,1)</f>
        <v>43101</v>
      </c>
      <c r="C21" s="459"/>
      <c r="D21" s="639">
        <f>F13/12</f>
        <v>-3873.7195578666483</v>
      </c>
      <c r="E21" s="489"/>
      <c r="F21" s="639">
        <v>0</v>
      </c>
      <c r="G21" s="488"/>
      <c r="H21" s="639">
        <v>0</v>
      </c>
      <c r="I21" s="639"/>
      <c r="J21" s="639">
        <f>F21+H21</f>
        <v>0</v>
      </c>
      <c r="K21" s="640"/>
      <c r="L21" s="641">
        <f>+'PSO WS Q Interest Rate'!E13</f>
        <v>3.5999999999999999E-3</v>
      </c>
      <c r="M21" s="642"/>
      <c r="N21" s="639">
        <f t="shared" ref="N21:N32" si="1">J21*L21</f>
        <v>0</v>
      </c>
      <c r="O21" s="639"/>
      <c r="P21" s="639">
        <f>D21+N21</f>
        <v>-3873.7195578666483</v>
      </c>
      <c r="R21" s="393">
        <v>1</v>
      </c>
    </row>
    <row r="22" spans="2:18" ht="15.75">
      <c r="B22" s="487">
        <f t="shared" si="0"/>
        <v>43132</v>
      </c>
      <c r="C22" s="459"/>
      <c r="D22" s="639">
        <f>+D21</f>
        <v>-3873.7195578666483</v>
      </c>
      <c r="E22" s="489"/>
      <c r="F22" s="639">
        <f>D21</f>
        <v>-3873.7195578666483</v>
      </c>
      <c r="G22" s="488"/>
      <c r="H22" s="639">
        <v>0</v>
      </c>
      <c r="I22" s="639"/>
      <c r="J22" s="639">
        <f t="shared" ref="J22:J31" si="2">F22+H22</f>
        <v>-3873.7195578666483</v>
      </c>
      <c r="K22" s="640"/>
      <c r="L22" s="641">
        <f>+'PSO WS Q Interest Rate'!E14</f>
        <v>3.3E-3</v>
      </c>
      <c r="M22" s="642"/>
      <c r="N22" s="639">
        <f t="shared" si="1"/>
        <v>-12.783274540959939</v>
      </c>
      <c r="O22" s="639"/>
      <c r="P22" s="639">
        <f>SUM($D$21:D22)+SUM($N$21:N22)</f>
        <v>-7760.2223902742562</v>
      </c>
      <c r="R22" s="393">
        <v>2</v>
      </c>
    </row>
    <row r="23" spans="2:18" ht="15.75">
      <c r="B23" s="487">
        <f t="shared" si="0"/>
        <v>43160</v>
      </c>
      <c r="C23" s="459"/>
      <c r="D23" s="639">
        <f>+D22</f>
        <v>-3873.7195578666483</v>
      </c>
      <c r="E23" s="489"/>
      <c r="F23" s="639">
        <f>D22+F22</f>
        <v>-7747.4391157332966</v>
      </c>
      <c r="G23" s="488"/>
      <c r="H23" s="639">
        <v>0</v>
      </c>
      <c r="I23" s="639"/>
      <c r="J23" s="639">
        <f t="shared" si="2"/>
        <v>-7747.4391157332966</v>
      </c>
      <c r="K23" s="640"/>
      <c r="L23" s="641">
        <f>+'PSO WS Q Interest Rate'!E15</f>
        <v>3.5999999999999999E-3</v>
      </c>
      <c r="M23" s="642"/>
      <c r="N23" s="639">
        <f t="shared" si="1"/>
        <v>-27.890780816639868</v>
      </c>
      <c r="O23" s="639"/>
      <c r="P23" s="639">
        <f>SUM($D$21:D23)+SUM($N$21:N23)</f>
        <v>-11661.832728957545</v>
      </c>
      <c r="R23" s="393">
        <v>3</v>
      </c>
    </row>
    <row r="24" spans="2:18" ht="15.75">
      <c r="B24" s="487">
        <f t="shared" si="0"/>
        <v>43191</v>
      </c>
      <c r="C24" s="459"/>
      <c r="D24" s="639">
        <f>+D23</f>
        <v>-3873.7195578666483</v>
      </c>
      <c r="E24" s="489"/>
      <c r="F24" s="639">
        <f t="shared" ref="F24:F30" si="3">D23+F23</f>
        <v>-11621.158673599944</v>
      </c>
      <c r="G24" s="488"/>
      <c r="H24" s="639">
        <f>SUM($N$21:$N$23)</f>
        <v>-40.674055357599805</v>
      </c>
      <c r="I24" s="639"/>
      <c r="J24" s="639">
        <f t="shared" si="2"/>
        <v>-11661.832728957545</v>
      </c>
      <c r="K24" s="640"/>
      <c r="L24" s="641">
        <f>+'PSO WS Q Interest Rate'!E16</f>
        <v>3.7000000000000002E-3</v>
      </c>
      <c r="M24" s="642"/>
      <c r="N24" s="639">
        <f t="shared" si="1"/>
        <v>-43.148781097142916</v>
      </c>
      <c r="O24" s="639"/>
      <c r="P24" s="639">
        <f>SUM($D$21:D24)+SUM($N$21:N24)</f>
        <v>-15578.701067921336</v>
      </c>
      <c r="R24" s="393">
        <v>4</v>
      </c>
    </row>
    <row r="25" spans="2:18" ht="15.75">
      <c r="B25" s="487">
        <f t="shared" si="0"/>
        <v>43221</v>
      </c>
      <c r="C25" s="459"/>
      <c r="D25" s="639">
        <f t="shared" ref="D25:D30" si="4">+D24</f>
        <v>-3873.7195578666483</v>
      </c>
      <c r="E25" s="489"/>
      <c r="F25" s="639">
        <f t="shared" si="3"/>
        <v>-15494.878231466593</v>
      </c>
      <c r="G25" s="488"/>
      <c r="H25" s="639">
        <f t="shared" ref="H25:H26" si="5">SUM($N$21:$N$23)</f>
        <v>-40.674055357599805</v>
      </c>
      <c r="I25" s="639"/>
      <c r="J25" s="639">
        <f t="shared" si="2"/>
        <v>-15535.552286824193</v>
      </c>
      <c r="K25" s="640"/>
      <c r="L25" s="641">
        <f>+'PSO WS Q Interest Rate'!E17</f>
        <v>3.8E-3</v>
      </c>
      <c r="M25" s="642"/>
      <c r="N25" s="639">
        <f t="shared" si="1"/>
        <v>-59.035098689931935</v>
      </c>
      <c r="O25" s="639"/>
      <c r="P25" s="639">
        <f>SUM($D$21:D25)+SUM($N$21:N25)</f>
        <v>-19511.455724477917</v>
      </c>
      <c r="R25" s="393">
        <v>5</v>
      </c>
    </row>
    <row r="26" spans="2:18" ht="15.75">
      <c r="B26" s="487">
        <f t="shared" si="0"/>
        <v>43252</v>
      </c>
      <c r="C26" s="459"/>
      <c r="D26" s="639">
        <f t="shared" si="4"/>
        <v>-3873.7195578666483</v>
      </c>
      <c r="E26" s="489"/>
      <c r="F26" s="639">
        <f t="shared" si="3"/>
        <v>-19368.597789333242</v>
      </c>
      <c r="G26" s="488"/>
      <c r="H26" s="639">
        <f t="shared" si="5"/>
        <v>-40.674055357599805</v>
      </c>
      <c r="I26" s="639"/>
      <c r="J26" s="639">
        <f t="shared" si="2"/>
        <v>-19409.27184469084</v>
      </c>
      <c r="K26" s="640"/>
      <c r="L26" s="641">
        <f>+'PSO WS Q Interest Rate'!E18</f>
        <v>3.7000000000000002E-3</v>
      </c>
      <c r="M26" s="642"/>
      <c r="N26" s="639">
        <f t="shared" si="1"/>
        <v>-71.814305825356115</v>
      </c>
      <c r="O26" s="639"/>
      <c r="P26" s="639">
        <f>SUM($D$21:D26)+SUM($N$21:N26)</f>
        <v>-23456.989588169919</v>
      </c>
      <c r="R26" s="393">
        <v>6</v>
      </c>
    </row>
    <row r="27" spans="2:18" ht="15.75">
      <c r="B27" s="487">
        <f t="shared" si="0"/>
        <v>43282</v>
      </c>
      <c r="C27" s="459"/>
      <c r="D27" s="639">
        <f t="shared" si="4"/>
        <v>-3873.7195578666483</v>
      </c>
      <c r="E27" s="489"/>
      <c r="F27" s="639">
        <f t="shared" si="3"/>
        <v>-23242.317347199889</v>
      </c>
      <c r="G27" s="488"/>
      <c r="H27" s="639">
        <f>$H$26+SUM($N$24:$N$26)</f>
        <v>-214.67224097003077</v>
      </c>
      <c r="I27" s="639"/>
      <c r="J27" s="639">
        <f t="shared" si="2"/>
        <v>-23456.989588169919</v>
      </c>
      <c r="K27" s="640"/>
      <c r="L27" s="641">
        <f>+'PSO WS Q Interest Rate'!E19</f>
        <v>4.0000000000000001E-3</v>
      </c>
      <c r="M27" s="642"/>
      <c r="N27" s="639">
        <f t="shared" si="1"/>
        <v>-93.827958352679673</v>
      </c>
      <c r="O27" s="639"/>
      <c r="P27" s="639">
        <f>SUM($D$21:D27)+SUM($N$21:N27)</f>
        <v>-27424.537104389245</v>
      </c>
      <c r="R27" s="393">
        <v>7</v>
      </c>
    </row>
    <row r="28" spans="2:18" ht="15.75">
      <c r="B28" s="487">
        <f t="shared" si="0"/>
        <v>43313</v>
      </c>
      <c r="C28" s="459"/>
      <c r="D28" s="639">
        <f t="shared" si="4"/>
        <v>-3873.7195578666483</v>
      </c>
      <c r="E28" s="489"/>
      <c r="F28" s="639">
        <f t="shared" si="3"/>
        <v>-27116.036905066536</v>
      </c>
      <c r="G28" s="488"/>
      <c r="H28" s="639">
        <f>$H$26+SUM($N$24:$N$26)</f>
        <v>-214.67224097003077</v>
      </c>
      <c r="I28" s="639"/>
      <c r="J28" s="639">
        <f t="shared" si="2"/>
        <v>-27330.709146036566</v>
      </c>
      <c r="K28" s="640"/>
      <c r="L28" s="641">
        <f>+'PSO WS Q Interest Rate'!E20</f>
        <v>4.0000000000000001E-3</v>
      </c>
      <c r="M28" s="642"/>
      <c r="N28" s="639">
        <f t="shared" si="1"/>
        <v>-109.32283658414627</v>
      </c>
      <c r="O28" s="639"/>
      <c r="P28" s="639">
        <f>SUM($D$21:D28)+SUM($N$21:N28)</f>
        <v>-31407.579498840041</v>
      </c>
      <c r="R28" s="393">
        <v>8</v>
      </c>
    </row>
    <row r="29" spans="2:18" ht="15.75">
      <c r="B29" s="487">
        <f t="shared" si="0"/>
        <v>43344</v>
      </c>
      <c r="C29" s="459"/>
      <c r="D29" s="639">
        <f t="shared" si="4"/>
        <v>-3873.7195578666483</v>
      </c>
      <c r="E29" s="489"/>
      <c r="F29" s="639">
        <f t="shared" si="3"/>
        <v>-30989.756462933183</v>
      </c>
      <c r="G29" s="488"/>
      <c r="H29" s="639">
        <f>$H$26+SUM($N$24:$N$26)</f>
        <v>-214.67224097003077</v>
      </c>
      <c r="I29" s="639"/>
      <c r="J29" s="639">
        <f t="shared" si="2"/>
        <v>-31204.428703903213</v>
      </c>
      <c r="K29" s="640"/>
      <c r="L29" s="641">
        <f>+'PSO WS Q Interest Rate'!E21</f>
        <v>3.8999999999999998E-3</v>
      </c>
      <c r="M29" s="642"/>
      <c r="N29" s="639">
        <f t="shared" si="1"/>
        <v>-121.69727194522252</v>
      </c>
      <c r="O29" s="639"/>
      <c r="P29" s="639">
        <f>SUM($D$21:D29)+SUM($N$21:N29)</f>
        <v>-35402.996328651912</v>
      </c>
      <c r="R29" s="393">
        <v>9</v>
      </c>
    </row>
    <row r="30" spans="2:18" ht="15.75">
      <c r="B30" s="487">
        <f t="shared" si="0"/>
        <v>43374</v>
      </c>
      <c r="C30" s="459"/>
      <c r="D30" s="639">
        <f t="shared" si="4"/>
        <v>-3873.7195578666483</v>
      </c>
      <c r="E30" s="489"/>
      <c r="F30" s="639">
        <f t="shared" si="3"/>
        <v>-34863.476020799833</v>
      </c>
      <c r="G30" s="488"/>
      <c r="H30" s="639">
        <f>$H$29+SUM($N$27:$N$29)</f>
        <v>-539.52030785207921</v>
      </c>
      <c r="I30" s="639"/>
      <c r="J30" s="639">
        <f t="shared" si="2"/>
        <v>-35402.996328651912</v>
      </c>
      <c r="K30" s="640"/>
      <c r="L30" s="641">
        <f>+'PSO WS Q Interest Rate'!E22</f>
        <v>4.1999999999999997E-3</v>
      </c>
      <c r="M30" s="642"/>
      <c r="N30" s="639">
        <f t="shared" si="1"/>
        <v>-148.69258458033804</v>
      </c>
      <c r="O30" s="639"/>
      <c r="P30" s="639">
        <f>SUM($D$21:D30)+SUM($N$21:N30)</f>
        <v>-39425.408471098905</v>
      </c>
      <c r="R30" s="393">
        <v>10</v>
      </c>
    </row>
    <row r="31" spans="2:18" ht="15.75">
      <c r="B31" s="487">
        <f t="shared" si="0"/>
        <v>43405</v>
      </c>
      <c r="C31" s="459"/>
      <c r="D31" s="639">
        <f>+D30</f>
        <v>-3873.7195578666483</v>
      </c>
      <c r="E31" s="489"/>
      <c r="F31" s="639">
        <f>D30+F30</f>
        <v>-38737.195578666484</v>
      </c>
      <c r="G31" s="488"/>
      <c r="H31" s="639">
        <f>$H$29+SUM($N$27:$N$29)</f>
        <v>-539.52030785207921</v>
      </c>
      <c r="I31" s="639"/>
      <c r="J31" s="639">
        <f t="shared" si="2"/>
        <v>-39276.715886518563</v>
      </c>
      <c r="K31" s="640"/>
      <c r="L31" s="641">
        <f>+'PSO WS Q Interest Rate'!E23</f>
        <v>4.1000000000000003E-3</v>
      </c>
      <c r="M31" s="642"/>
      <c r="N31" s="639">
        <f t="shared" si="1"/>
        <v>-161.03453513472613</v>
      </c>
      <c r="O31" s="639"/>
      <c r="P31" s="639">
        <f>SUM($D$21:D31)+SUM($N$21:N31)</f>
        <v>-43460.162564100276</v>
      </c>
      <c r="R31" s="393">
        <v>11</v>
      </c>
    </row>
    <row r="32" spans="2:18" ht="15.75">
      <c r="B32" s="487">
        <f t="shared" si="0"/>
        <v>43435</v>
      </c>
      <c r="C32" s="459"/>
      <c r="D32" s="639">
        <f>+D31</f>
        <v>-3873.7195578666483</v>
      </c>
      <c r="E32" s="489"/>
      <c r="F32" s="639">
        <f>D31+F31</f>
        <v>-42610.915136533135</v>
      </c>
      <c r="G32" s="488"/>
      <c r="H32" s="639">
        <f>$H$29+SUM($N$27:$N$29)</f>
        <v>-539.52030785207921</v>
      </c>
      <c r="I32" s="639"/>
      <c r="J32" s="639">
        <f>F32+H32</f>
        <v>-43150.435444385213</v>
      </c>
      <c r="K32" s="640"/>
      <c r="L32" s="641">
        <f>+'PSO WS Q Interest Rate'!E24</f>
        <v>4.1999999999999997E-3</v>
      </c>
      <c r="M32" s="642"/>
      <c r="N32" s="639">
        <f t="shared" si="1"/>
        <v>-181.23182886641789</v>
      </c>
      <c r="O32" s="639"/>
      <c r="P32" s="639">
        <f>SUM($D$21:D32)+SUM($N$21:N32)</f>
        <v>-47515.113950833344</v>
      </c>
      <c r="R32" s="393">
        <v>12</v>
      </c>
    </row>
    <row r="33" spans="2:20" ht="15.75">
      <c r="B33" s="459"/>
      <c r="C33" s="459"/>
      <c r="D33" s="488"/>
      <c r="E33" s="489"/>
      <c r="F33" s="488"/>
      <c r="G33" s="488"/>
      <c r="H33" s="488"/>
      <c r="I33" s="488"/>
      <c r="J33" s="488"/>
      <c r="K33" s="489"/>
      <c r="L33" s="473"/>
      <c r="M33" s="459"/>
      <c r="N33" s="490"/>
      <c r="O33" s="488"/>
      <c r="P33" s="491"/>
    </row>
    <row r="34" spans="2:20" ht="15.75">
      <c r="B34" s="486" t="s">
        <v>1113</v>
      </c>
      <c r="C34" s="459"/>
      <c r="D34" s="488"/>
      <c r="E34" s="489"/>
      <c r="F34" s="488"/>
      <c r="G34" s="488"/>
      <c r="H34" s="488"/>
      <c r="I34" s="488"/>
      <c r="J34" s="488"/>
      <c r="K34" s="489"/>
      <c r="L34" s="473"/>
      <c r="M34" s="459"/>
      <c r="N34" s="488"/>
      <c r="O34" s="488"/>
      <c r="P34" s="629"/>
    </row>
    <row r="35" spans="2:20" ht="15.75">
      <c r="B35" s="487">
        <f t="shared" ref="B35:B40" si="6">DATE($J$12,R35,1)</f>
        <v>43466</v>
      </c>
      <c r="C35" s="459"/>
      <c r="D35" s="639">
        <v>0</v>
      </c>
      <c r="E35" s="640"/>
      <c r="F35" s="639">
        <f>D32+F32</f>
        <v>-46484.634694399785</v>
      </c>
      <c r="G35" s="639"/>
      <c r="H35" s="639">
        <f>$H$32+SUM($N$30:$N$32)</f>
        <v>-1030.4792564335612</v>
      </c>
      <c r="I35" s="639"/>
      <c r="J35" s="639">
        <f>F35+H35</f>
        <v>-47515.113950833344</v>
      </c>
      <c r="K35" s="640"/>
      <c r="L35" s="641">
        <f>+'PSO WS Q Interest Rate'!E25</f>
        <v>4.4000000000000003E-3</v>
      </c>
      <c r="M35" s="642"/>
      <c r="N35" s="639">
        <f t="shared" ref="N35:N40" si="7">J35*L35</f>
        <v>-209.06650138366672</v>
      </c>
      <c r="O35" s="639"/>
      <c r="P35" s="639">
        <f>SUM($D$21:D35)+SUM($N$21:N35)</f>
        <v>-47724.180452217013</v>
      </c>
      <c r="R35" s="393">
        <v>1</v>
      </c>
    </row>
    <row r="36" spans="2:20" ht="15.75">
      <c r="B36" s="487">
        <f t="shared" si="6"/>
        <v>43497</v>
      </c>
      <c r="C36" s="459"/>
      <c r="D36" s="639">
        <v>0</v>
      </c>
      <c r="E36" s="640"/>
      <c r="F36" s="639">
        <f>D35+F35</f>
        <v>-46484.634694399785</v>
      </c>
      <c r="G36" s="639"/>
      <c r="H36" s="639">
        <f>$H$32+SUM($N$30:$N$32)</f>
        <v>-1030.4792564335612</v>
      </c>
      <c r="I36" s="639"/>
      <c r="J36" s="639">
        <f>F36+H36</f>
        <v>-47515.113950833344</v>
      </c>
      <c r="K36" s="640"/>
      <c r="L36" s="641">
        <f>+'PSO WS Q Interest Rate'!E26</f>
        <v>4.0000000000000001E-3</v>
      </c>
      <c r="M36" s="642"/>
      <c r="N36" s="639">
        <f t="shared" si="7"/>
        <v>-190.06045580333338</v>
      </c>
      <c r="O36" s="639"/>
      <c r="P36" s="639">
        <f>SUM($D$21:D36)+SUM($N$21:N36)</f>
        <v>-47914.240908020343</v>
      </c>
      <c r="R36" s="393">
        <v>2</v>
      </c>
    </row>
    <row r="37" spans="2:20" ht="15.75">
      <c r="B37" s="487">
        <f t="shared" si="6"/>
        <v>43525</v>
      </c>
      <c r="C37" s="459"/>
      <c r="D37" s="639">
        <v>0</v>
      </c>
      <c r="E37" s="640"/>
      <c r="F37" s="639">
        <f t="shared" ref="F37:F40" si="8">D36+F36</f>
        <v>-46484.634694399785</v>
      </c>
      <c r="G37" s="639"/>
      <c r="H37" s="639">
        <f>$H$32+SUM($N$30:$N$32)</f>
        <v>-1030.4792564335612</v>
      </c>
      <c r="I37" s="639"/>
      <c r="J37" s="639">
        <f t="shared" ref="J37:J40" si="9">F37+H37</f>
        <v>-47515.113950833344</v>
      </c>
      <c r="K37" s="640"/>
      <c r="L37" s="641">
        <f>+'PSO WS Q Interest Rate'!E27</f>
        <v>4.4000000000000003E-3</v>
      </c>
      <c r="M37" s="642"/>
      <c r="N37" s="639">
        <f t="shared" si="7"/>
        <v>-209.06650138366672</v>
      </c>
      <c r="O37" s="639"/>
      <c r="P37" s="639">
        <f>SUM($D$21:D37)+SUM($N$21:N37)</f>
        <v>-48123.307409404013</v>
      </c>
      <c r="R37" s="393">
        <v>3</v>
      </c>
    </row>
    <row r="38" spans="2:20" ht="15.75">
      <c r="B38" s="487">
        <f t="shared" si="6"/>
        <v>43556</v>
      </c>
      <c r="C38" s="459"/>
      <c r="D38" s="639">
        <v>0</v>
      </c>
      <c r="E38" s="640"/>
      <c r="F38" s="639">
        <f t="shared" si="8"/>
        <v>-46484.634694399785</v>
      </c>
      <c r="G38" s="639"/>
      <c r="H38" s="639">
        <f>$H$37+SUM($N$35:$N$37)</f>
        <v>-1638.6727150042279</v>
      </c>
      <c r="I38" s="639"/>
      <c r="J38" s="639">
        <f>F38+H38</f>
        <v>-48123.307409404013</v>
      </c>
      <c r="K38" s="640"/>
      <c r="L38" s="641">
        <f>+'PSO WS Q Interest Rate'!E28</f>
        <v>4.4999999999999997E-3</v>
      </c>
      <c r="M38" s="642"/>
      <c r="N38" s="639">
        <f t="shared" si="7"/>
        <v>-216.55488334231805</v>
      </c>
      <c r="O38" s="639"/>
      <c r="P38" s="639">
        <f>SUM($D$21:D38)+SUM($N$21:N38)</f>
        <v>-48339.862292746329</v>
      </c>
      <c r="R38" s="393">
        <v>4</v>
      </c>
    </row>
    <row r="39" spans="2:20" ht="15.75">
      <c r="B39" s="487">
        <f t="shared" si="6"/>
        <v>43586</v>
      </c>
      <c r="C39" s="459"/>
      <c r="D39" s="639">
        <v>0</v>
      </c>
      <c r="E39" s="640"/>
      <c r="F39" s="639">
        <f t="shared" si="8"/>
        <v>-46484.634694399785</v>
      </c>
      <c r="G39" s="639"/>
      <c r="H39" s="639">
        <f>$H$37+SUM($N$35:$N$37)</f>
        <v>-1638.6727150042279</v>
      </c>
      <c r="I39" s="639"/>
      <c r="J39" s="639">
        <f t="shared" si="9"/>
        <v>-48123.307409404013</v>
      </c>
      <c r="K39" s="640"/>
      <c r="L39" s="641">
        <f>+'PSO WS Q Interest Rate'!E29</f>
        <v>4.5999999999999999E-3</v>
      </c>
      <c r="M39" s="642"/>
      <c r="N39" s="639">
        <f t="shared" si="7"/>
        <v>-221.36721408325846</v>
      </c>
      <c r="O39" s="639"/>
      <c r="P39" s="639">
        <f>SUM($D$21:D39)+SUM($N$21:N39)</f>
        <v>-48561.229506829593</v>
      </c>
      <c r="R39" s="393">
        <v>5</v>
      </c>
    </row>
    <row r="40" spans="2:20" ht="16.5" thickBot="1">
      <c r="B40" s="492">
        <f t="shared" si="6"/>
        <v>43617</v>
      </c>
      <c r="C40" s="493"/>
      <c r="D40" s="643">
        <v>0</v>
      </c>
      <c r="E40" s="644"/>
      <c r="F40" s="643">
        <f t="shared" si="8"/>
        <v>-46484.634694399785</v>
      </c>
      <c r="G40" s="643"/>
      <c r="H40" s="643">
        <f>$H$37+SUM($N$35:$N$37)</f>
        <v>-1638.6727150042279</v>
      </c>
      <c r="I40" s="643"/>
      <c r="J40" s="643">
        <f t="shared" si="9"/>
        <v>-48123.307409404013</v>
      </c>
      <c r="K40" s="644"/>
      <c r="L40" s="645">
        <f>+'PSO WS Q Interest Rate'!E30</f>
        <v>4.4999999999999997E-3</v>
      </c>
      <c r="M40" s="646"/>
      <c r="N40" s="643">
        <f t="shared" si="7"/>
        <v>-216.55488334231805</v>
      </c>
      <c r="O40" s="643"/>
      <c r="P40" s="643">
        <f>SUM($D$21:D40)+SUM($N$21:N40)</f>
        <v>-48777.78439017191</v>
      </c>
      <c r="R40" s="393">
        <v>6</v>
      </c>
    </row>
    <row r="41" spans="2:20" ht="15.75">
      <c r="B41" s="459"/>
      <c r="C41" s="459"/>
      <c r="D41" s="471"/>
      <c r="E41" s="471"/>
      <c r="F41" s="471"/>
      <c r="G41" s="471"/>
      <c r="H41" s="471"/>
      <c r="I41" s="471"/>
      <c r="J41" s="471"/>
      <c r="K41" s="471"/>
      <c r="L41" s="459"/>
      <c r="M41" s="459"/>
      <c r="N41" s="488"/>
      <c r="O41" s="488"/>
      <c r="P41" s="488"/>
    </row>
    <row r="42" spans="2:20" ht="15">
      <c r="B42" s="462"/>
      <c r="C42" s="462"/>
      <c r="D42" s="462"/>
      <c r="E42" s="462"/>
      <c r="F42" s="462"/>
      <c r="G42" s="462"/>
      <c r="H42" s="462"/>
      <c r="I42" s="462"/>
      <c r="J42" s="462"/>
      <c r="K42" s="462"/>
      <c r="L42" s="462"/>
      <c r="M42" s="462"/>
      <c r="N42" s="629"/>
      <c r="O42" s="629"/>
      <c r="P42" s="629"/>
    </row>
    <row r="43" spans="2:20" ht="15.75">
      <c r="B43" s="494" t="s">
        <v>1115</v>
      </c>
      <c r="C43" s="630"/>
      <c r="D43" s="630"/>
      <c r="E43" s="630"/>
      <c r="F43" s="630"/>
      <c r="G43" s="630"/>
      <c r="H43" s="630"/>
      <c r="I43" s="630"/>
      <c r="J43" s="630"/>
      <c r="K43" s="630"/>
      <c r="L43" s="630"/>
      <c r="M43" s="630"/>
      <c r="N43" s="631"/>
      <c r="O43" s="632"/>
      <c r="P43" s="647">
        <f>P40</f>
        <v>-48777.78439017191</v>
      </c>
    </row>
    <row r="44" spans="2:20" ht="15.75">
      <c r="B44" s="495" t="s">
        <v>1116</v>
      </c>
      <c r="C44" s="633"/>
      <c r="D44" s="633"/>
      <c r="E44" s="633"/>
      <c r="F44" s="633"/>
      <c r="G44" s="633"/>
      <c r="H44" s="633"/>
      <c r="I44" s="633"/>
      <c r="J44" s="633"/>
      <c r="K44" s="633"/>
      <c r="L44" s="633"/>
      <c r="M44" s="633"/>
      <c r="N44" s="634"/>
      <c r="O44" s="635"/>
      <c r="P44" s="648">
        <f>+F13</f>
        <v>-46484.634694399778</v>
      </c>
    </row>
    <row r="45" spans="2:20" ht="15.75">
      <c r="B45" s="496" t="s">
        <v>1117</v>
      </c>
      <c r="C45" s="636"/>
      <c r="D45" s="636"/>
      <c r="E45" s="636"/>
      <c r="F45" s="636"/>
      <c r="G45" s="636"/>
      <c r="H45" s="636"/>
      <c r="I45" s="636"/>
      <c r="J45" s="636"/>
      <c r="K45" s="636"/>
      <c r="L45" s="636"/>
      <c r="M45" s="636"/>
      <c r="N45" s="637"/>
      <c r="O45" s="638"/>
      <c r="P45" s="649">
        <f>P43-P44</f>
        <v>-2293.149695772132</v>
      </c>
    </row>
    <row r="46" spans="2:20">
      <c r="B46" s="457"/>
      <c r="C46" s="457"/>
      <c r="D46" s="457"/>
      <c r="E46" s="457"/>
      <c r="F46" s="457"/>
      <c r="G46" s="457"/>
      <c r="H46" s="457"/>
      <c r="I46" s="457"/>
      <c r="J46" s="457"/>
      <c r="K46" s="457"/>
      <c r="L46" s="457"/>
      <c r="M46" s="457"/>
      <c r="N46" s="457"/>
      <c r="O46" s="457"/>
      <c r="P46" s="457"/>
    </row>
    <row r="47" spans="2:20" ht="15.75">
      <c r="B47" s="2531" t="s">
        <v>1350</v>
      </c>
      <c r="C47" s="2531"/>
      <c r="D47" s="2531"/>
      <c r="E47" s="2531"/>
      <c r="F47" s="2531"/>
      <c r="G47" s="2531"/>
      <c r="H47" s="2531"/>
      <c r="I47" s="2531"/>
      <c r="J47" s="2531"/>
      <c r="K47" s="2531"/>
      <c r="L47" s="2531"/>
      <c r="M47" s="2531"/>
      <c r="N47" s="2531"/>
      <c r="O47" s="497"/>
      <c r="P47" s="497"/>
      <c r="T47" s="498"/>
    </row>
    <row r="48" spans="2:20" ht="17.25" customHeight="1">
      <c r="B48" s="2531"/>
      <c r="C48" s="2531"/>
      <c r="D48" s="2531"/>
      <c r="E48" s="2531"/>
      <c r="F48" s="2531"/>
      <c r="G48" s="2531"/>
      <c r="H48" s="2531"/>
      <c r="I48" s="2531"/>
      <c r="J48" s="2531"/>
      <c r="K48" s="2531"/>
      <c r="L48" s="2531"/>
      <c r="M48" s="2531"/>
      <c r="N48" s="2531"/>
      <c r="O48" s="457"/>
      <c r="P48" s="457"/>
    </row>
    <row r="49" spans="2:16">
      <c r="B49" s="628"/>
      <c r="C49" s="628"/>
      <c r="D49" s="628"/>
      <c r="E49" s="628"/>
      <c r="F49" s="628"/>
      <c r="G49" s="628"/>
      <c r="H49" s="628"/>
      <c r="I49" s="628"/>
      <c r="J49" s="628"/>
      <c r="K49" s="628"/>
      <c r="L49" s="628"/>
      <c r="M49" s="628"/>
      <c r="N49" s="628"/>
      <c r="O49" s="628"/>
      <c r="P49" s="628"/>
    </row>
    <row r="50" spans="2:16">
      <c r="B50" s="2526" t="s">
        <v>1351</v>
      </c>
      <c r="C50" s="2526"/>
      <c r="D50" s="2526"/>
      <c r="E50" s="2526"/>
      <c r="F50" s="2526"/>
      <c r="G50" s="2526"/>
      <c r="H50" s="2526"/>
      <c r="I50" s="2526"/>
      <c r="J50" s="2526"/>
      <c r="K50" s="2526"/>
      <c r="L50" s="2526"/>
      <c r="M50" s="2526"/>
      <c r="N50" s="2526"/>
      <c r="O50" s="628"/>
      <c r="P50" s="628"/>
    </row>
    <row r="51" spans="2:16" ht="21.75" customHeight="1">
      <c r="B51" s="2526"/>
      <c r="C51" s="2526"/>
      <c r="D51" s="2526"/>
      <c r="E51" s="2526"/>
      <c r="F51" s="2526"/>
      <c r="G51" s="2526"/>
      <c r="H51" s="2526"/>
      <c r="I51" s="2526"/>
      <c r="J51" s="2526"/>
      <c r="K51" s="2526"/>
      <c r="L51" s="2526"/>
      <c r="M51" s="2526"/>
      <c r="N51" s="2526"/>
      <c r="O51" s="628"/>
      <c r="P51" s="628"/>
    </row>
    <row r="53" spans="2:16" ht="15.75">
      <c r="B53" s="483"/>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19" zoomScaleNormal="100" workbookViewId="0">
      <selection activeCell="E18" sqref="E18"/>
    </sheetView>
  </sheetViews>
  <sheetFormatPr defaultColWidth="9.140625" defaultRowHeight="12.75"/>
  <cols>
    <col min="1" max="1" width="11.28515625" style="500" customWidth="1"/>
    <col min="2" max="2" width="11.7109375" style="500" bestFit="1" customWidth="1"/>
    <col min="3" max="3" width="23.7109375" style="500" customWidth="1"/>
    <col min="4" max="4" width="21" style="500" customWidth="1"/>
    <col min="5" max="5" width="11.42578125" style="500"/>
    <col min="6" max="6" width="12" style="500" bestFit="1" customWidth="1"/>
    <col min="7" max="7" width="18.28515625" style="500" bestFit="1" customWidth="1"/>
    <col min="8" max="8" width="21.42578125" style="393" customWidth="1"/>
    <col min="9" max="9" width="1.5703125" style="393" customWidth="1"/>
    <col min="10" max="10" width="21" style="393" customWidth="1"/>
    <col min="11" max="11" width="1.7109375" style="393" customWidth="1"/>
    <col min="12" max="12" width="18.28515625" style="393" customWidth="1"/>
    <col min="13" max="13" width="1.7109375" style="393" customWidth="1"/>
    <col min="14" max="14" width="17" style="393" customWidth="1"/>
    <col min="15" max="15" width="1.7109375" style="393" customWidth="1"/>
    <col min="16" max="16" width="18.140625" style="393" customWidth="1"/>
    <col min="17" max="17" width="7.7109375" style="393" bestFit="1" customWidth="1"/>
    <col min="18" max="18" width="11.28515625" style="393" hidden="1" customWidth="1"/>
    <col min="19" max="19" width="9.140625" style="393"/>
    <col min="20" max="20" width="11.28515625" style="393" customWidth="1"/>
    <col min="21" max="16384" width="9.140625" style="393"/>
  </cols>
  <sheetData>
    <row r="1" spans="1:7" ht="15">
      <c r="A1" s="499"/>
    </row>
    <row r="2" spans="1:7" ht="15.75">
      <c r="A2" s="455"/>
    </row>
    <row r="3" spans="1:7" ht="15.75">
      <c r="A3" s="455"/>
    </row>
    <row r="4" spans="1:7" ht="15.75">
      <c r="A4" s="455"/>
    </row>
    <row r="5" spans="1:7" ht="15.75">
      <c r="A5" s="2533" t="s">
        <v>878</v>
      </c>
      <c r="B5" s="2533"/>
      <c r="C5" s="2533"/>
      <c r="D5" s="2533"/>
      <c r="E5" s="2533"/>
      <c r="F5" s="2533"/>
      <c r="G5" s="2533"/>
    </row>
    <row r="6" spans="1:7" ht="15.75">
      <c r="A6" s="2534" t="str">
        <f>+'PSO WS A-1 - Plant'!A3</f>
        <v xml:space="preserve">Actual / Projected 2018 Rate Year Cost of Service Formula Rate </v>
      </c>
      <c r="B6" s="2534"/>
      <c r="C6" s="2534"/>
      <c r="D6" s="2534"/>
      <c r="E6" s="2534"/>
      <c r="F6" s="2534"/>
      <c r="G6" s="2534"/>
    </row>
    <row r="7" spans="1:7" ht="15.75">
      <c r="A7" s="2535" t="s">
        <v>1353</v>
      </c>
      <c r="B7" s="2535"/>
      <c r="C7" s="2535"/>
      <c r="D7" s="2535"/>
      <c r="E7" s="2535"/>
      <c r="F7" s="2535"/>
      <c r="G7" s="2535"/>
    </row>
    <row r="8" spans="1:7" ht="15.75" customHeight="1">
      <c r="A8" s="2536" t="str">
        <f>+'PSO TCOS'!F8</f>
        <v>PUBLIC SERVICE COMPANY OF OKLAHOMA</v>
      </c>
      <c r="B8" s="2536"/>
      <c r="C8" s="2536"/>
      <c r="D8" s="2536"/>
      <c r="E8" s="2536"/>
      <c r="F8" s="2536"/>
      <c r="G8" s="2536"/>
    </row>
    <row r="10" spans="1:7" ht="13.5" customHeight="1">
      <c r="A10" s="2537" t="s">
        <v>1359</v>
      </c>
      <c r="B10" s="2537"/>
      <c r="C10" s="2537"/>
      <c r="D10" s="2537"/>
      <c r="E10" s="2537"/>
      <c r="F10" s="2537"/>
      <c r="G10" s="2537"/>
    </row>
    <row r="11" spans="1:7">
      <c r="G11" s="501"/>
    </row>
    <row r="12" spans="1:7">
      <c r="A12" s="502"/>
      <c r="B12" s="503" t="s">
        <v>1119</v>
      </c>
    </row>
    <row r="13" spans="1:7">
      <c r="A13" s="504">
        <v>1</v>
      </c>
      <c r="C13" s="505">
        <f>+'PSO WS N Sch 11 TU'!B19</f>
        <v>43101</v>
      </c>
      <c r="E13" s="526">
        <v>3.5999999999999999E-3</v>
      </c>
      <c r="F13" s="506"/>
      <c r="G13" s="506"/>
    </row>
    <row r="14" spans="1:7">
      <c r="A14" s="504">
        <v>2</v>
      </c>
      <c r="C14" s="505">
        <f>+'PSO WS N Sch 11 TU'!B20</f>
        <v>43132</v>
      </c>
      <c r="E14" s="526">
        <v>3.3E-3</v>
      </c>
      <c r="F14" s="506"/>
      <c r="G14" s="506"/>
    </row>
    <row r="15" spans="1:7">
      <c r="A15" s="504">
        <v>3</v>
      </c>
      <c r="C15" s="505">
        <f>+'PSO WS N Sch 11 TU'!B21</f>
        <v>43160</v>
      </c>
      <c r="E15" s="526">
        <v>3.5999999999999999E-3</v>
      </c>
      <c r="F15" s="506"/>
      <c r="G15" s="506"/>
    </row>
    <row r="16" spans="1:7">
      <c r="A16" s="504">
        <v>4</v>
      </c>
      <c r="C16" s="505">
        <f>+'PSO WS N Sch 11 TU'!B22</f>
        <v>43191</v>
      </c>
      <c r="E16" s="526">
        <v>3.7000000000000002E-3</v>
      </c>
      <c r="F16" s="506"/>
      <c r="G16" s="506"/>
    </row>
    <row r="17" spans="1:7">
      <c r="A17" s="504">
        <v>5</v>
      </c>
      <c r="C17" s="505">
        <f>+'PSO WS N Sch 11 TU'!B23</f>
        <v>43221</v>
      </c>
      <c r="E17" s="526">
        <v>3.8E-3</v>
      </c>
      <c r="F17" s="507"/>
      <c r="G17" s="506"/>
    </row>
    <row r="18" spans="1:7">
      <c r="A18" s="504">
        <v>6</v>
      </c>
      <c r="C18" s="505">
        <f>+'PSO WS N Sch 11 TU'!B24</f>
        <v>43252</v>
      </c>
      <c r="E18" s="526">
        <v>3.7000000000000002E-3</v>
      </c>
      <c r="F18" s="506"/>
      <c r="G18" s="506"/>
    </row>
    <row r="19" spans="1:7">
      <c r="A19" s="504">
        <v>7</v>
      </c>
      <c r="C19" s="505">
        <f>+'PSO WS N Sch 11 TU'!B25</f>
        <v>43282</v>
      </c>
      <c r="E19" s="526">
        <v>4.0000000000000001E-3</v>
      </c>
      <c r="F19" s="506"/>
      <c r="G19" s="506"/>
    </row>
    <row r="20" spans="1:7">
      <c r="A20" s="504">
        <v>8</v>
      </c>
      <c r="C20" s="505">
        <f>+'PSO WS N Sch 11 TU'!B26</f>
        <v>43313</v>
      </c>
      <c r="E20" s="526">
        <v>4.0000000000000001E-3</v>
      </c>
      <c r="F20" s="506"/>
      <c r="G20" s="506"/>
    </row>
    <row r="21" spans="1:7">
      <c r="A21" s="504">
        <v>9</v>
      </c>
      <c r="C21" s="505">
        <f>+'PSO WS N Sch 11 TU'!B27</f>
        <v>43344</v>
      </c>
      <c r="E21" s="526">
        <v>3.8999999999999998E-3</v>
      </c>
      <c r="F21" s="506"/>
      <c r="G21" s="506"/>
    </row>
    <row r="22" spans="1:7">
      <c r="A22" s="504">
        <v>10</v>
      </c>
      <c r="C22" s="505">
        <f>+'PSO WS N Sch 11 TU'!B28</f>
        <v>43374</v>
      </c>
      <c r="E22" s="526">
        <v>4.1999999999999997E-3</v>
      </c>
      <c r="F22" s="506"/>
      <c r="G22" s="506"/>
    </row>
    <row r="23" spans="1:7">
      <c r="A23" s="504">
        <v>11</v>
      </c>
      <c r="C23" s="505">
        <f>+'PSO WS N Sch 11 TU'!B29</f>
        <v>43405</v>
      </c>
      <c r="E23" s="526">
        <v>4.1000000000000003E-3</v>
      </c>
      <c r="F23" s="507"/>
      <c r="G23" s="506"/>
    </row>
    <row r="24" spans="1:7">
      <c r="A24" s="504">
        <v>12</v>
      </c>
      <c r="C24" s="505">
        <f>+'PSO WS N Sch 11 TU'!B30</f>
        <v>43435</v>
      </c>
      <c r="E24" s="526">
        <v>4.1999999999999997E-3</v>
      </c>
      <c r="F24" s="506"/>
      <c r="G24" s="506"/>
    </row>
    <row r="25" spans="1:7">
      <c r="A25" s="504">
        <f>+A24+1</f>
        <v>13</v>
      </c>
      <c r="C25" s="505">
        <f>+'PSO WS N Sch 11 TU'!B33</f>
        <v>43466</v>
      </c>
      <c r="E25" s="526">
        <v>4.4000000000000003E-3</v>
      </c>
      <c r="F25" s="506"/>
      <c r="G25" s="506"/>
    </row>
    <row r="26" spans="1:7">
      <c r="A26" s="504">
        <f t="shared" ref="A26:A36" si="0">+A25+1</f>
        <v>14</v>
      </c>
      <c r="C26" s="505">
        <f>+'PSO WS N Sch 11 TU'!B34</f>
        <v>43497</v>
      </c>
      <c r="E26" s="526">
        <v>4.0000000000000001E-3</v>
      </c>
      <c r="F26" s="506"/>
      <c r="G26" s="506"/>
    </row>
    <row r="27" spans="1:7">
      <c r="A27" s="504">
        <f t="shared" si="0"/>
        <v>15</v>
      </c>
      <c r="C27" s="505">
        <f>+'PSO WS N Sch 11 TU'!B35</f>
        <v>43525</v>
      </c>
      <c r="E27" s="526">
        <v>4.4000000000000003E-3</v>
      </c>
      <c r="F27" s="506"/>
      <c r="G27" s="506"/>
    </row>
    <row r="28" spans="1:7">
      <c r="A28" s="504">
        <f t="shared" si="0"/>
        <v>16</v>
      </c>
      <c r="C28" s="505">
        <f>+'PSO WS N Sch 11 TU'!B36</f>
        <v>43556</v>
      </c>
      <c r="E28" s="526">
        <v>4.4999999999999997E-3</v>
      </c>
      <c r="F28" s="506"/>
      <c r="G28" s="506"/>
    </row>
    <row r="29" spans="1:7">
      <c r="A29" s="504">
        <f t="shared" si="0"/>
        <v>17</v>
      </c>
      <c r="C29" s="505">
        <f>+'PSO WS N Sch 11 TU'!B37</f>
        <v>43586</v>
      </c>
      <c r="E29" s="526">
        <v>4.5999999999999999E-3</v>
      </c>
      <c r="F29" s="506"/>
      <c r="G29" s="506"/>
    </row>
    <row r="30" spans="1:7">
      <c r="A30" s="504">
        <f t="shared" si="0"/>
        <v>18</v>
      </c>
      <c r="C30" s="505">
        <f>+'PSO WS N Sch 11 TU'!B38</f>
        <v>43617</v>
      </c>
      <c r="E30" s="526">
        <v>4.4999999999999997E-3</v>
      </c>
      <c r="F30" s="506"/>
      <c r="G30" s="506"/>
    </row>
    <row r="31" spans="1:7">
      <c r="A31" s="504">
        <f t="shared" si="0"/>
        <v>19</v>
      </c>
      <c r="C31" s="505">
        <f>+'PSO WS N Sch 11 TU'!B39</f>
        <v>43647</v>
      </c>
      <c r="E31" s="526">
        <f>+E30</f>
        <v>4.4999999999999997E-3</v>
      </c>
      <c r="F31" s="506"/>
      <c r="G31" s="506"/>
    </row>
    <row r="32" spans="1:7">
      <c r="A32" s="504">
        <f t="shared" si="0"/>
        <v>20</v>
      </c>
      <c r="C32" s="505">
        <f>+'PSO WS N Sch 11 TU'!B40</f>
        <v>43678</v>
      </c>
      <c r="E32" s="526">
        <f>+E30</f>
        <v>4.4999999999999997E-3</v>
      </c>
      <c r="F32" s="506"/>
      <c r="G32" s="506"/>
    </row>
    <row r="33" spans="1:7">
      <c r="A33" s="504">
        <f t="shared" si="0"/>
        <v>21</v>
      </c>
      <c r="C33" s="505">
        <f>+'PSO WS N Sch 11 TU'!B41</f>
        <v>43709</v>
      </c>
      <c r="E33" s="526">
        <f>+E30</f>
        <v>4.4999999999999997E-3</v>
      </c>
      <c r="F33" s="506"/>
      <c r="G33" s="506"/>
    </row>
    <row r="34" spans="1:7">
      <c r="A34" s="504">
        <f t="shared" si="0"/>
        <v>22</v>
      </c>
      <c r="C34" s="505">
        <f>+'PSO WS N Sch 11 TU'!B42</f>
        <v>43739</v>
      </c>
      <c r="E34" s="526">
        <f>+E30</f>
        <v>4.4999999999999997E-3</v>
      </c>
      <c r="F34" s="506"/>
      <c r="G34" s="506"/>
    </row>
    <row r="35" spans="1:7">
      <c r="A35" s="504">
        <f t="shared" si="0"/>
        <v>23</v>
      </c>
      <c r="C35" s="505">
        <f>+'PSO WS N Sch 11 TU'!B43</f>
        <v>43770</v>
      </c>
      <c r="E35" s="526">
        <f>+E30</f>
        <v>4.4999999999999997E-3</v>
      </c>
      <c r="F35" s="506"/>
      <c r="G35" s="506"/>
    </row>
    <row r="36" spans="1:7">
      <c r="A36" s="504">
        <f t="shared" si="0"/>
        <v>24</v>
      </c>
      <c r="C36" s="505">
        <f>+'PSO WS N Sch 11 TU'!B44</f>
        <v>43800</v>
      </c>
      <c r="E36" s="526">
        <f>+E30</f>
        <v>4.4999999999999997E-3</v>
      </c>
      <c r="F36" s="506"/>
      <c r="G36" s="506"/>
    </row>
    <row r="37" spans="1:7">
      <c r="A37" s="504"/>
      <c r="C37" s="508"/>
      <c r="D37" s="509"/>
      <c r="E37" s="509"/>
      <c r="F37" s="506"/>
      <c r="G37" s="506"/>
    </row>
    <row r="38" spans="1:7">
      <c r="A38" s="504"/>
      <c r="B38" s="510" t="s">
        <v>1120</v>
      </c>
      <c r="C38" s="508"/>
      <c r="D38" s="509"/>
      <c r="E38" s="509"/>
    </row>
    <row r="39" spans="1:7">
      <c r="A39" s="504">
        <f>A36+1</f>
        <v>25</v>
      </c>
      <c r="B39" s="511" t="str">
        <f>"Average Monthly Rate - Lines "&amp;A25&amp;"- "&amp;A36</f>
        <v>Average Monthly Rate - Lines 13- 24</v>
      </c>
      <c r="C39" s="512"/>
      <c r="D39" s="509"/>
      <c r="E39" s="513">
        <f>+AVERAGE(E25:E36)</f>
        <v>4.4499999999999991E-3</v>
      </c>
    </row>
    <row r="40" spans="1:7">
      <c r="E40" s="514"/>
    </row>
    <row r="41" spans="1:7" ht="30.75" customHeight="1">
      <c r="A41" s="2532" t="s">
        <v>1360</v>
      </c>
      <c r="B41" s="2532"/>
      <c r="C41" s="2532"/>
      <c r="D41" s="2532"/>
      <c r="E41" s="2532"/>
      <c r="F41" s="2532"/>
      <c r="G41" s="2532"/>
    </row>
    <row r="43" spans="1:7" ht="15.75">
      <c r="A43" s="497"/>
    </row>
    <row r="46" spans="1:7" ht="15.75" customHeight="1">
      <c r="C46" s="497"/>
      <c r="D46" s="497"/>
      <c r="E46" s="497"/>
      <c r="F46" s="497"/>
      <c r="G46" s="497"/>
    </row>
    <row r="47" spans="1:7" ht="12.75" customHeight="1">
      <c r="C47" s="497"/>
      <c r="D47" s="497"/>
      <c r="E47" s="497"/>
      <c r="F47" s="497"/>
      <c r="G47" s="497"/>
    </row>
    <row r="49" spans="2:7" ht="12.75" customHeight="1">
      <c r="C49" s="515"/>
      <c r="D49" s="515"/>
      <c r="E49" s="515"/>
      <c r="F49" s="515"/>
      <c r="G49" s="515"/>
    </row>
    <row r="50" spans="2:7" ht="12.75" customHeight="1">
      <c r="B50" s="515"/>
      <c r="C50" s="515"/>
      <c r="D50" s="515"/>
      <c r="E50" s="515"/>
      <c r="F50" s="515"/>
      <c r="G50" s="515"/>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3" fitToHeight="0" orientation="portrait" r:id="rId1"/>
  <headerFooter>
    <oddHeader>&amp;RAEP - SPP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H16" sqref="H16"/>
    </sheetView>
  </sheetViews>
  <sheetFormatPr defaultColWidth="11.42578125" defaultRowHeight="12.75"/>
  <cols>
    <col min="1" max="1" width="9" style="419" customWidth="1"/>
    <col min="2" max="2" width="4.28515625" style="399" customWidth="1"/>
    <col min="3" max="3" width="51.42578125" style="399" customWidth="1"/>
    <col min="4" max="4" width="21" style="399" customWidth="1"/>
    <col min="5" max="5" width="16.5703125" style="399" customWidth="1"/>
    <col min="6" max="6" width="18.5703125" style="399" customWidth="1"/>
    <col min="7" max="7" width="20" style="399" bestFit="1" customWidth="1"/>
    <col min="8" max="8" width="18.28515625" style="399" customWidth="1"/>
    <col min="9" max="9" width="17" style="399" customWidth="1"/>
    <col min="10" max="10" width="16" style="399" customWidth="1"/>
    <col min="11" max="11" width="16.7109375" style="399" customWidth="1"/>
    <col min="12" max="12" width="13.7109375" style="399" customWidth="1"/>
    <col min="13" max="13" width="11.5703125" style="399" customWidth="1"/>
    <col min="14" max="15" width="13.42578125" style="399" customWidth="1"/>
    <col min="16" max="16" width="13.7109375" style="399" customWidth="1"/>
    <col min="17" max="16384" width="11.42578125" style="399"/>
  </cols>
  <sheetData>
    <row r="1" spans="1:15" ht="15">
      <c r="A1" s="137"/>
    </row>
    <row r="2" spans="1:15" ht="15">
      <c r="A2" s="2505" t="str">
        <f>'PSO TCOS'!F4</f>
        <v xml:space="preserve">AEP West SPP Member Operating Companies </v>
      </c>
      <c r="B2" s="2505"/>
      <c r="C2" s="2505"/>
      <c r="D2" s="2505"/>
      <c r="E2" s="2505"/>
      <c r="F2" s="2505"/>
      <c r="G2" s="2505"/>
      <c r="H2" s="2505"/>
      <c r="I2" s="387"/>
      <c r="J2" s="381"/>
      <c r="K2" s="381"/>
    </row>
    <row r="3" spans="1:15" ht="15">
      <c r="A3" s="2505" t="str">
        <f>"Actual / Projected "&amp;'PSO TCOS'!$N$2&amp;" Rate Year Cost of Service Formula Rate "</f>
        <v xml:space="preserve">Actual / Projected 2018 Rate Year Cost of Service Formula Rate </v>
      </c>
      <c r="B3" s="2505"/>
      <c r="C3" s="2505"/>
      <c r="D3" s="2505"/>
      <c r="E3" s="2505"/>
      <c r="F3" s="2505"/>
      <c r="G3" s="2505"/>
      <c r="H3" s="2505"/>
      <c r="I3" s="80"/>
    </row>
    <row r="4" spans="1:15" ht="15.75">
      <c r="A4" s="2506" t="s">
        <v>1357</v>
      </c>
      <c r="B4" s="2505"/>
      <c r="C4" s="2505"/>
      <c r="D4" s="2505"/>
      <c r="E4" s="2505"/>
      <c r="F4" s="2505"/>
      <c r="G4" s="2505"/>
      <c r="H4" s="2505"/>
      <c r="I4" s="386"/>
    </row>
    <row r="5" spans="1:15" ht="15.75">
      <c r="A5" s="2539" t="str">
        <f>+'PSO TCOS'!$F$8</f>
        <v>PUBLIC SERVICE COMPANY OF OKLAHOMA</v>
      </c>
      <c r="B5" s="2506"/>
      <c r="C5" s="2506"/>
      <c r="D5" s="2506"/>
      <c r="E5" s="2506"/>
      <c r="F5" s="2506"/>
      <c r="G5" s="2506"/>
      <c r="H5" s="2506"/>
      <c r="I5" s="138"/>
    </row>
    <row r="6" spans="1:15" ht="15">
      <c r="A6" s="138"/>
      <c r="B6" s="138"/>
      <c r="C6" s="138"/>
      <c r="F6" s="139"/>
      <c r="G6" s="139"/>
      <c r="H6" s="139"/>
      <c r="I6" s="139"/>
      <c r="J6" s="139"/>
    </row>
    <row r="7" spans="1:15">
      <c r="C7" s="41" t="s">
        <v>303</v>
      </c>
      <c r="D7" s="41" t="s">
        <v>304</v>
      </c>
      <c r="E7" s="41" t="s">
        <v>305</v>
      </c>
      <c r="F7" s="41" t="s">
        <v>306</v>
      </c>
      <c r="G7" s="41" t="s">
        <v>231</v>
      </c>
      <c r="H7" s="41" t="s">
        <v>232</v>
      </c>
      <c r="I7" s="41"/>
      <c r="J7" s="41"/>
    </row>
    <row r="8" spans="1:15">
      <c r="A8" s="19" t="s">
        <v>310</v>
      </c>
      <c r="C8" s="41"/>
      <c r="D8" s="41"/>
      <c r="E8" s="516" t="s">
        <v>1194</v>
      </c>
      <c r="F8" s="50" t="s">
        <v>15</v>
      </c>
      <c r="G8" s="50" t="s">
        <v>60</v>
      </c>
      <c r="H8" s="2540" t="str">
        <f>"Average Balance for "&amp;'PSO TCOS'!$N$2&amp;""</f>
        <v>Average Balance for 2018</v>
      </c>
      <c r="I8" s="41"/>
      <c r="J8" s="41"/>
    </row>
    <row r="9" spans="1:15">
      <c r="A9" s="19" t="s">
        <v>248</v>
      </c>
      <c r="C9" s="50" t="s">
        <v>308</v>
      </c>
      <c r="D9" s="517" t="s">
        <v>392</v>
      </c>
      <c r="E9" s="517" t="s">
        <v>1193</v>
      </c>
      <c r="F9" s="246" t="str">
        <f>"12/31/"&amp;'PSO TCOS'!$N$2&amp;""</f>
        <v>12/31/2018</v>
      </c>
      <c r="G9" s="246" t="str">
        <f>"12/31/"&amp;'PSO TCOS'!$N$2-1&amp;""</f>
        <v>12/31/2017</v>
      </c>
      <c r="H9" s="2541"/>
      <c r="I9" s="50"/>
      <c r="J9" s="50"/>
      <c r="L9" s="381"/>
      <c r="M9" s="381"/>
      <c r="N9" s="381"/>
      <c r="O9" s="381"/>
    </row>
    <row r="10" spans="1:15">
      <c r="A10" s="391"/>
      <c r="B10" s="391"/>
      <c r="C10" s="391"/>
      <c r="D10" s="391"/>
      <c r="E10" s="391"/>
      <c r="G10" s="518"/>
      <c r="H10" s="519"/>
      <c r="I10" s="519"/>
      <c r="J10" s="391"/>
      <c r="K10" s="519"/>
      <c r="L10" s="381"/>
      <c r="M10" s="381"/>
      <c r="N10" s="381"/>
      <c r="O10" s="381"/>
    </row>
    <row r="11" spans="1:15">
      <c r="A11" s="419">
        <v>1</v>
      </c>
      <c r="B11" s="391"/>
      <c r="C11" s="520" t="s">
        <v>1581</v>
      </c>
      <c r="D11" s="520" t="s">
        <v>1580</v>
      </c>
      <c r="E11" s="521"/>
      <c r="F11" s="520">
        <v>88312.903000000006</v>
      </c>
      <c r="G11" s="520">
        <v>210705.1</v>
      </c>
      <c r="H11" s="430">
        <f t="shared" ref="H11:H15" si="0">IF(G11="",0,(F11+G11)/2)</f>
        <v>149509.00150000001</v>
      </c>
      <c r="I11" s="519"/>
      <c r="J11" s="391"/>
      <c r="K11" s="519"/>
      <c r="L11" s="381"/>
      <c r="M11" s="381"/>
      <c r="N11" s="381"/>
      <c r="O11" s="381"/>
    </row>
    <row r="12" spans="1:15">
      <c r="A12" s="419">
        <f>+A11+1</f>
        <v>2</v>
      </c>
      <c r="C12" s="520"/>
      <c r="D12" s="520"/>
      <c r="E12" s="520"/>
      <c r="F12" s="520"/>
      <c r="G12" s="520"/>
      <c r="H12" s="430">
        <f t="shared" si="0"/>
        <v>0</v>
      </c>
      <c r="J12" s="400"/>
      <c r="L12" s="400"/>
      <c r="M12" s="400"/>
      <c r="N12" s="400"/>
      <c r="O12" s="400"/>
    </row>
    <row r="13" spans="1:15">
      <c r="A13" s="419">
        <f t="shared" ref="A13:A16" si="1">+A12+1</f>
        <v>3</v>
      </c>
      <c r="C13" s="520"/>
      <c r="D13" s="520"/>
      <c r="E13" s="520"/>
      <c r="F13" s="520"/>
      <c r="G13" s="520"/>
      <c r="H13" s="430">
        <f t="shared" si="0"/>
        <v>0</v>
      </c>
      <c r="J13" s="400"/>
      <c r="L13" s="400"/>
      <c r="M13" s="400"/>
      <c r="N13" s="400"/>
      <c r="O13" s="400"/>
    </row>
    <row r="14" spans="1:15">
      <c r="A14" s="419">
        <f t="shared" si="1"/>
        <v>4</v>
      </c>
      <c r="C14" s="520"/>
      <c r="D14" s="520"/>
      <c r="E14" s="520"/>
      <c r="F14" s="520"/>
      <c r="G14" s="520"/>
      <c r="H14" s="430">
        <f t="shared" si="0"/>
        <v>0</v>
      </c>
      <c r="J14" s="400"/>
      <c r="L14" s="400"/>
      <c r="M14" s="400"/>
      <c r="N14" s="400"/>
      <c r="O14" s="400"/>
    </row>
    <row r="15" spans="1:15">
      <c r="A15" s="419">
        <f t="shared" si="1"/>
        <v>5</v>
      </c>
      <c r="C15" s="522"/>
      <c r="D15" s="522"/>
      <c r="E15" s="522"/>
      <c r="F15" s="522"/>
      <c r="G15" s="522"/>
      <c r="H15" s="430">
        <f t="shared" si="0"/>
        <v>0</v>
      </c>
      <c r="J15" s="400"/>
      <c r="L15" s="400"/>
      <c r="M15" s="400"/>
      <c r="N15" s="400"/>
      <c r="O15" s="400"/>
    </row>
    <row r="16" spans="1:15">
      <c r="A16" s="419">
        <f t="shared" si="1"/>
        <v>6</v>
      </c>
      <c r="C16" s="432" t="s">
        <v>1154</v>
      </c>
      <c r="D16" s="432"/>
      <c r="E16" s="432"/>
      <c r="F16" s="523">
        <f>+SUM(F11:F15)</f>
        <v>88312.903000000006</v>
      </c>
      <c r="G16" s="523">
        <f>+SUM(G11:G15)</f>
        <v>210705.1</v>
      </c>
      <c r="H16" s="523">
        <f>+SUM(H11:H15)</f>
        <v>149509.00150000001</v>
      </c>
      <c r="J16" s="400"/>
      <c r="L16" s="400"/>
      <c r="M16" s="400"/>
      <c r="N16" s="400"/>
      <c r="O16" s="400"/>
    </row>
    <row r="18" spans="1:8" ht="29.25" customHeight="1">
      <c r="A18" s="2538" t="s">
        <v>1195</v>
      </c>
      <c r="B18" s="2538"/>
      <c r="C18" s="2538"/>
      <c r="D18" s="2538"/>
      <c r="E18" s="2538"/>
      <c r="F18" s="2538"/>
      <c r="G18" s="2538"/>
      <c r="H18" s="2538"/>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opLeftCell="A20" zoomScale="70" zoomScaleNormal="70" zoomScaleSheetLayoutView="84" workbookViewId="0">
      <selection activeCell="K41" sqref="K41"/>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6.5" customHeight="1">
      <c r="A1" s="289"/>
    </row>
    <row r="2" spans="1:23" ht="15">
      <c r="H2" s="546" t="s">
        <v>1091</v>
      </c>
      <c r="U2">
        <f>+'PSO TCOS'!N2</f>
        <v>2018</v>
      </c>
    </row>
    <row r="3" spans="1:23" ht="15">
      <c r="H3" s="547" t="s">
        <v>1090</v>
      </c>
    </row>
    <row r="4" spans="1:23" ht="15">
      <c r="H4" s="57" t="str">
        <f>"For Calendar Year "&amp;U2&amp;" and Projected Year "&amp;U2+1</f>
        <v>For Calendar Year 2018 and Projected Year 2019</v>
      </c>
    </row>
    <row r="5" spans="1:23" ht="15">
      <c r="H5" s="7"/>
    </row>
    <row r="6" spans="1:23" ht="15.75">
      <c r="H6" s="280" t="s">
        <v>558</v>
      </c>
    </row>
    <row r="8" spans="1:23" ht="18">
      <c r="C8" s="548"/>
      <c r="E8" s="548"/>
      <c r="F8" s="548"/>
      <c r="G8" s="548"/>
      <c r="H8" s="549" t="str">
        <f>+'PSO TCOS'!F8</f>
        <v>PUBLIC SERVICE COMPANY OF OKLAHOMA</v>
      </c>
      <c r="I8" s="548"/>
      <c r="J8" s="548"/>
      <c r="K8" s="548"/>
    </row>
    <row r="9" spans="1:23">
      <c r="D9" s="239"/>
    </row>
    <row r="10" spans="1:23">
      <c r="A10" t="s">
        <v>1096</v>
      </c>
    </row>
    <row r="13" spans="1:23" ht="24.75" customHeight="1" thickBot="1">
      <c r="A13" s="281" t="s">
        <v>303</v>
      </c>
      <c r="B13" s="281" t="s">
        <v>304</v>
      </c>
      <c r="C13" s="550" t="s">
        <v>47</v>
      </c>
      <c r="D13" s="281" t="s">
        <v>306</v>
      </c>
      <c r="E13" s="281" t="s">
        <v>231</v>
      </c>
      <c r="F13" s="281" t="s">
        <v>232</v>
      </c>
      <c r="G13" s="281" t="str">
        <f>"(G) = "&amp;E13&amp;" + "&amp;F13</f>
        <v>(G) = (E) + (F)</v>
      </c>
      <c r="H13" s="281"/>
      <c r="I13" s="281" t="s">
        <v>238</v>
      </c>
      <c r="J13" s="281" t="s">
        <v>179</v>
      </c>
      <c r="K13" s="281" t="str">
        <f>"(J) = "&amp;I13&amp;" - "&amp;J13</f>
        <v>(J) = (H) - (I)</v>
      </c>
      <c r="L13" s="281"/>
      <c r="M13" s="281" t="s">
        <v>1290</v>
      </c>
      <c r="N13" s="281" t="s">
        <v>559</v>
      </c>
      <c r="O13" s="281" t="str">
        <f>"(M) = "&amp;M13&amp;"-"&amp;N13</f>
        <v>(M) = (K)-(L)</v>
      </c>
      <c r="P13" s="281" t="s">
        <v>1291</v>
      </c>
      <c r="Q13" s="281" t="s">
        <v>561</v>
      </c>
      <c r="R13" s="281" t="str">
        <f>"(P) = "&amp;LEFT(K13,3)&amp;"+ "&amp;LEFT(P13,3)&amp;"+"&amp;LEFT(O13,3)&amp;"+"&amp;Q13</f>
        <v>(P) = (J)+ (N)+(M)+(O)</v>
      </c>
      <c r="S13" s="281"/>
      <c r="T13" s="281" t="str">
        <f>"(Q) = "&amp;LEFT(G13,3)&amp;" + "&amp;LEFT(R13,3)</f>
        <v>(Q) = (G) + (P)</v>
      </c>
      <c r="U13" s="281"/>
      <c r="V13" s="282"/>
      <c r="W13" s="282"/>
    </row>
    <row r="14" spans="1:23" ht="16.5" customHeight="1" thickBot="1">
      <c r="A14" s="551"/>
      <c r="B14" s="552"/>
      <c r="C14" s="552"/>
      <c r="D14" s="552"/>
      <c r="E14" s="2424" t="str">
        <f>"Projected ARR For "&amp;U2+1&amp;" From WS-F"</f>
        <v>Projected ARR For 2019 From WS-F</v>
      </c>
      <c r="F14" s="2424"/>
      <c r="G14" s="2424"/>
      <c r="H14" s="552"/>
      <c r="I14" s="2424" t="str">
        <f>"True Up ARR For "&amp;U2&amp;" From WS-G"</f>
        <v>True Up ARR For 2018 From WS-G</v>
      </c>
      <c r="J14" s="2424"/>
      <c r="K14" s="2424"/>
      <c r="L14" s="553"/>
      <c r="M14" s="553" t="s">
        <v>563</v>
      </c>
      <c r="N14" s="554"/>
      <c r="O14" s="554"/>
      <c r="P14" s="555"/>
      <c r="Q14" s="556"/>
      <c r="R14" s="557"/>
      <c r="S14" s="552"/>
      <c r="T14" s="558"/>
      <c r="U14" s="290"/>
    </row>
    <row r="15" spans="1:23" ht="76.900000000000006" customHeight="1" thickBot="1">
      <c r="A15" s="559" t="s">
        <v>564</v>
      </c>
      <c r="B15" s="560" t="s">
        <v>565</v>
      </c>
      <c r="C15" s="560" t="s">
        <v>566</v>
      </c>
      <c r="D15" s="560" t="s">
        <v>567</v>
      </c>
      <c r="E15" s="560" t="s">
        <v>562</v>
      </c>
      <c r="F15" s="560" t="s">
        <v>568</v>
      </c>
      <c r="G15" s="560" t="s">
        <v>260</v>
      </c>
      <c r="H15" s="560"/>
      <c r="I15" s="560" t="s">
        <v>1363</v>
      </c>
      <c r="J15" s="560" t="s">
        <v>1364</v>
      </c>
      <c r="K15" s="560" t="s">
        <v>1361</v>
      </c>
      <c r="L15" s="560"/>
      <c r="M15" s="560" t="s">
        <v>569</v>
      </c>
      <c r="N15" s="560" t="s">
        <v>1365</v>
      </c>
      <c r="O15" s="560" t="s">
        <v>1361</v>
      </c>
      <c r="P15" s="560" t="s">
        <v>1378</v>
      </c>
      <c r="Q15" s="560" t="s">
        <v>1362</v>
      </c>
      <c r="R15" s="560" t="s">
        <v>1379</v>
      </c>
      <c r="S15" s="561"/>
      <c r="T15" s="562" t="str">
        <f>"Total ADJUSTED Revenue Requirement Effective
1/1/"&amp;U2&amp;""</f>
        <v>Total ADJUSTED Revenue Requirement Effective
1/1/2018</v>
      </c>
      <c r="V15" s="563" t="s">
        <v>1089</v>
      </c>
    </row>
    <row r="16" spans="1:23">
      <c r="A16" s="564"/>
      <c r="B16" s="565"/>
      <c r="C16" s="565"/>
      <c r="D16" s="279"/>
      <c r="E16" s="683"/>
      <c r="F16" s="683"/>
      <c r="G16" s="683"/>
      <c r="H16" s="684"/>
      <c r="I16" s="683"/>
      <c r="J16" s="683"/>
      <c r="K16" s="683"/>
      <c r="L16" s="683"/>
      <c r="M16" s="683"/>
      <c r="N16" s="683"/>
      <c r="O16" s="683"/>
      <c r="P16" s="683"/>
      <c r="Q16" s="683"/>
      <c r="R16" s="683"/>
      <c r="S16" s="684"/>
      <c r="T16" s="685"/>
      <c r="U16" s="686"/>
      <c r="V16" s="687"/>
      <c r="W16" s="686"/>
    </row>
    <row r="17" spans="1:23">
      <c r="A17" s="281" t="s">
        <v>1590</v>
      </c>
      <c r="B17" s="281" t="s">
        <v>1591</v>
      </c>
      <c r="C17" s="394" t="s">
        <v>1616</v>
      </c>
      <c r="D17" s="617">
        <v>2009</v>
      </c>
      <c r="E17" s="692">
        <v>0</v>
      </c>
      <c r="F17" s="693">
        <v>0</v>
      </c>
      <c r="G17" s="693">
        <v>0</v>
      </c>
      <c r="H17" s="694"/>
      <c r="I17" s="692">
        <v>-22506.025054960046</v>
      </c>
      <c r="J17" s="695">
        <v>115516.88437424114</v>
      </c>
      <c r="K17" s="695">
        <v>127209.88976019942</v>
      </c>
      <c r="L17" s="696">
        <v>-11693.005385958284</v>
      </c>
      <c r="M17" s="697"/>
      <c r="N17" s="697">
        <v>0</v>
      </c>
      <c r="O17" s="697">
        <v>0</v>
      </c>
      <c r="P17" s="692">
        <v>0</v>
      </c>
      <c r="Q17" s="692">
        <v>-3737.4496979331698</v>
      </c>
      <c r="R17" s="698">
        <v>-37936.480138851497</v>
      </c>
      <c r="S17" s="698"/>
      <c r="T17" s="699">
        <v>-37936.480138851497</v>
      </c>
      <c r="U17" s="700"/>
      <c r="V17" s="701">
        <v>-34199.03044091833</v>
      </c>
      <c r="W17" s="700" t="s">
        <v>1590</v>
      </c>
    </row>
    <row r="18" spans="1:23">
      <c r="A18" s="281" t="s">
        <v>1592</v>
      </c>
      <c r="B18" s="281" t="s">
        <v>1591</v>
      </c>
      <c r="C18" s="394" t="s">
        <v>1617</v>
      </c>
      <c r="D18" s="617">
        <v>2009</v>
      </c>
      <c r="E18" s="692">
        <v>0</v>
      </c>
      <c r="F18" s="693">
        <v>0</v>
      </c>
      <c r="G18" s="693">
        <v>0</v>
      </c>
      <c r="H18" s="694"/>
      <c r="I18" s="692">
        <v>-112615.75143827073</v>
      </c>
      <c r="J18" s="695">
        <v>602470.09178207489</v>
      </c>
      <c r="K18" s="695">
        <v>663454.12945109524</v>
      </c>
      <c r="L18" s="696">
        <v>-60984.037669020356</v>
      </c>
      <c r="M18" s="697"/>
      <c r="N18" s="697">
        <v>0</v>
      </c>
      <c r="O18" s="697">
        <v>0</v>
      </c>
      <c r="P18" s="692">
        <v>0</v>
      </c>
      <c r="Q18" s="692">
        <v>-18971.89689284316</v>
      </c>
      <c r="R18" s="698">
        <v>-192571.68600013424</v>
      </c>
      <c r="S18" s="698"/>
      <c r="T18" s="702">
        <v>-192571.68600013424</v>
      </c>
      <c r="U18" s="700"/>
      <c r="V18" s="701">
        <v>-173599.78910729109</v>
      </c>
      <c r="W18" s="700" t="s">
        <v>1592</v>
      </c>
    </row>
    <row r="19" spans="1:23" ht="25.5">
      <c r="A19" s="281" t="s">
        <v>1593</v>
      </c>
      <c r="B19" s="281" t="s">
        <v>1591</v>
      </c>
      <c r="C19" s="618" t="s">
        <v>1618</v>
      </c>
      <c r="D19" s="617">
        <v>2009</v>
      </c>
      <c r="E19" s="692">
        <v>0</v>
      </c>
      <c r="F19" s="693">
        <v>0</v>
      </c>
      <c r="G19" s="693">
        <v>0</v>
      </c>
      <c r="H19" s="694"/>
      <c r="I19" s="692">
        <v>-282188.61534289015</v>
      </c>
      <c r="J19" s="695">
        <v>1479501.3168344374</v>
      </c>
      <c r="K19" s="695">
        <v>1629261.3883598351</v>
      </c>
      <c r="L19" s="696">
        <v>-149760.07152539771</v>
      </c>
      <c r="M19" s="697"/>
      <c r="N19" s="697">
        <v>0</v>
      </c>
      <c r="O19" s="697">
        <v>0</v>
      </c>
      <c r="P19" s="692">
        <v>0</v>
      </c>
      <c r="Q19" s="692">
        <v>-47205.621575953701</v>
      </c>
      <c r="R19" s="698">
        <v>-479154.30844424153</v>
      </c>
      <c r="S19" s="698"/>
      <c r="T19" s="702">
        <v>-479154.30844424153</v>
      </c>
      <c r="U19" s="700"/>
      <c r="V19" s="701">
        <v>-431948.68686828786</v>
      </c>
      <c r="W19" s="700" t="s">
        <v>1593</v>
      </c>
    </row>
    <row r="20" spans="1:23" ht="25.5">
      <c r="A20" s="281" t="s">
        <v>1594</v>
      </c>
      <c r="B20" s="281" t="s">
        <v>1591</v>
      </c>
      <c r="C20" s="618" t="s">
        <v>1619</v>
      </c>
      <c r="D20" s="617">
        <v>2008</v>
      </c>
      <c r="E20" s="692">
        <v>0</v>
      </c>
      <c r="F20" s="693">
        <v>0</v>
      </c>
      <c r="G20" s="693">
        <v>0</v>
      </c>
      <c r="H20" s="694"/>
      <c r="I20" s="692">
        <v>-365097.91111111105</v>
      </c>
      <c r="J20" s="695">
        <v>1844108.8417033765</v>
      </c>
      <c r="K20" s="695">
        <v>2030775.7063365367</v>
      </c>
      <c r="L20" s="696">
        <v>-186666.86463316018</v>
      </c>
      <c r="M20" s="697"/>
      <c r="N20" s="697">
        <v>0</v>
      </c>
      <c r="O20" s="697">
        <v>0</v>
      </c>
      <c r="P20" s="692">
        <v>0</v>
      </c>
      <c r="Q20" s="692">
        <v>-60299.753175698941</v>
      </c>
      <c r="R20" s="698">
        <v>-612064.52891997015</v>
      </c>
      <c r="S20" s="698"/>
      <c r="T20" s="702">
        <v>-612064.52891997015</v>
      </c>
      <c r="U20" s="700"/>
      <c r="V20" s="701">
        <v>-551764.77574427123</v>
      </c>
      <c r="W20" s="700" t="s">
        <v>1594</v>
      </c>
    </row>
    <row r="21" spans="1:23">
      <c r="A21" s="619" t="s">
        <v>1595</v>
      </c>
      <c r="B21" s="281" t="s">
        <v>1591</v>
      </c>
      <c r="C21" s="618" t="s">
        <v>1620</v>
      </c>
      <c r="D21" s="617">
        <v>2006</v>
      </c>
      <c r="E21" s="692">
        <v>0</v>
      </c>
      <c r="F21" s="693">
        <v>0</v>
      </c>
      <c r="G21" s="693">
        <v>0</v>
      </c>
      <c r="H21" s="694"/>
      <c r="I21" s="692">
        <v>-8788.9705891878475</v>
      </c>
      <c r="J21" s="695">
        <v>47099.676426996062</v>
      </c>
      <c r="K21" s="695">
        <v>51867.263201181653</v>
      </c>
      <c r="L21" s="696">
        <v>-4767.5867741855909</v>
      </c>
      <c r="M21" s="697"/>
      <c r="N21" s="697">
        <v>0</v>
      </c>
      <c r="O21" s="697">
        <v>0</v>
      </c>
      <c r="P21" s="692">
        <v>0</v>
      </c>
      <c r="Q21" s="692">
        <v>-1481.5318027885357</v>
      </c>
      <c r="R21" s="698">
        <v>-15038.089166161973</v>
      </c>
      <c r="S21" s="698"/>
      <c r="T21" s="702">
        <v>-15038.089166161973</v>
      </c>
      <c r="U21" s="700"/>
      <c r="V21" s="701">
        <v>-13556.557363373438</v>
      </c>
      <c r="W21" s="700" t="s">
        <v>1595</v>
      </c>
    </row>
    <row r="22" spans="1:23">
      <c r="A22" s="281" t="s">
        <v>1596</v>
      </c>
      <c r="B22" s="281" t="s">
        <v>1591</v>
      </c>
      <c r="C22" s="618" t="s">
        <v>1621</v>
      </c>
      <c r="D22" s="617">
        <v>2008</v>
      </c>
      <c r="E22" s="692">
        <v>0</v>
      </c>
      <c r="F22" s="693">
        <v>0</v>
      </c>
      <c r="G22" s="693">
        <v>0</v>
      </c>
      <c r="H22" s="694"/>
      <c r="I22" s="692">
        <v>-36428.466276008985</v>
      </c>
      <c r="J22" s="695">
        <v>191860.01984004432</v>
      </c>
      <c r="K22" s="695">
        <v>211280.7327297001</v>
      </c>
      <c r="L22" s="696">
        <v>-19420.712889655784</v>
      </c>
      <c r="M22" s="697"/>
      <c r="N22" s="697">
        <v>0</v>
      </c>
      <c r="O22" s="697">
        <v>0</v>
      </c>
      <c r="P22" s="692">
        <v>0</v>
      </c>
      <c r="Q22" s="692">
        <v>-6103.4916812373895</v>
      </c>
      <c r="R22" s="698">
        <v>-61952.670846902161</v>
      </c>
      <c r="S22" s="698"/>
      <c r="T22" s="702">
        <v>-61952.670846902161</v>
      </c>
      <c r="U22" s="703"/>
      <c r="V22" s="701">
        <v>-55849.179165664769</v>
      </c>
      <c r="W22" s="703" t="s">
        <v>1596</v>
      </c>
    </row>
    <row r="23" spans="1:23">
      <c r="A23" s="281" t="s">
        <v>1597</v>
      </c>
      <c r="B23" s="281" t="s">
        <v>1591</v>
      </c>
      <c r="C23" s="618" t="s">
        <v>1622</v>
      </c>
      <c r="D23" s="617">
        <v>2007</v>
      </c>
      <c r="E23" s="692">
        <v>0</v>
      </c>
      <c r="F23" s="693">
        <v>0</v>
      </c>
      <c r="G23" s="693">
        <v>0</v>
      </c>
      <c r="H23" s="694"/>
      <c r="I23" s="692">
        <v>-2028.5160823105653</v>
      </c>
      <c r="J23" s="695">
        <v>10594.136255952555</v>
      </c>
      <c r="K23" s="695">
        <v>11666.510160178563</v>
      </c>
      <c r="L23" s="696">
        <v>-1072.3739042260077</v>
      </c>
      <c r="M23" s="697"/>
      <c r="N23" s="697">
        <v>0</v>
      </c>
      <c r="O23" s="697">
        <v>0</v>
      </c>
      <c r="P23" s="692">
        <v>0</v>
      </c>
      <c r="Q23" s="692">
        <v>-338.8815470522415</v>
      </c>
      <c r="R23" s="698">
        <v>-3439.7715335888142</v>
      </c>
      <c r="S23" s="704" t="s">
        <v>83</v>
      </c>
      <c r="T23" s="702">
        <v>-3439.7715335888142</v>
      </c>
      <c r="U23" s="700"/>
      <c r="V23" s="701">
        <v>-3100.8899865365729</v>
      </c>
      <c r="W23" s="700" t="s">
        <v>1597</v>
      </c>
    </row>
    <row r="24" spans="1:23" ht="25.5">
      <c r="A24" s="281" t="s">
        <v>1598</v>
      </c>
      <c r="B24" s="281" t="s">
        <v>1591</v>
      </c>
      <c r="C24" s="618" t="s">
        <v>1623</v>
      </c>
      <c r="D24" s="617">
        <v>2006</v>
      </c>
      <c r="E24" s="692">
        <v>0</v>
      </c>
      <c r="F24" s="693">
        <v>0</v>
      </c>
      <c r="G24" s="693">
        <v>0</v>
      </c>
      <c r="H24" s="694"/>
      <c r="I24" s="692">
        <v>-1220.3134300758547</v>
      </c>
      <c r="J24" s="695">
        <v>6860.8649194930222</v>
      </c>
      <c r="K24" s="695">
        <v>7555.3446130074462</v>
      </c>
      <c r="L24" s="696">
        <v>-694.47969351442407</v>
      </c>
      <c r="M24" s="697"/>
      <c r="N24" s="697">
        <v>0</v>
      </c>
      <c r="O24" s="697">
        <v>0</v>
      </c>
      <c r="P24" s="692">
        <v>0</v>
      </c>
      <c r="Q24" s="692">
        <v>-209.25865116937595</v>
      </c>
      <c r="R24" s="698">
        <v>-2124.0517747596546</v>
      </c>
      <c r="S24" s="704" t="s">
        <v>83</v>
      </c>
      <c r="T24" s="702">
        <v>-2124.0517747596546</v>
      </c>
      <c r="U24" s="700"/>
      <c r="V24" s="701">
        <v>-1914.7931235902788</v>
      </c>
      <c r="W24" s="700" t="s">
        <v>1598</v>
      </c>
    </row>
    <row r="25" spans="1:23">
      <c r="A25" s="281" t="s">
        <v>1599</v>
      </c>
      <c r="B25" s="281" t="s">
        <v>1591</v>
      </c>
      <c r="C25" s="618" t="s">
        <v>1624</v>
      </c>
      <c r="D25" s="617">
        <v>2007</v>
      </c>
      <c r="E25" s="692">
        <v>0</v>
      </c>
      <c r="F25" s="693">
        <v>0</v>
      </c>
      <c r="G25" s="693">
        <v>0</v>
      </c>
      <c r="H25" s="694"/>
      <c r="I25" s="692">
        <v>-1626.4766214356086</v>
      </c>
      <c r="J25" s="695">
        <v>9047.7948835900897</v>
      </c>
      <c r="K25" s="695">
        <v>9963.6429423216323</v>
      </c>
      <c r="L25" s="696">
        <v>-915.84805873154255</v>
      </c>
      <c r="M25" s="697"/>
      <c r="N25" s="697">
        <v>0</v>
      </c>
      <c r="O25" s="697">
        <v>0</v>
      </c>
      <c r="P25" s="692">
        <v>0</v>
      </c>
      <c r="Q25" s="692">
        <v>-277.83859616587466</v>
      </c>
      <c r="R25" s="698">
        <v>-2820.1632763330258</v>
      </c>
      <c r="S25" s="704" t="s">
        <v>83</v>
      </c>
      <c r="T25" s="702">
        <v>-2820.1632763330258</v>
      </c>
      <c r="U25" s="700"/>
      <c r="V25" s="701">
        <v>-2542.3246801671512</v>
      </c>
      <c r="W25" s="700" t="s">
        <v>1599</v>
      </c>
    </row>
    <row r="26" spans="1:23">
      <c r="A26" s="281" t="s">
        <v>1600</v>
      </c>
      <c r="B26" s="281" t="s">
        <v>1591</v>
      </c>
      <c r="C26" s="620" t="s">
        <v>1625</v>
      </c>
      <c r="D26" s="617">
        <v>2010</v>
      </c>
      <c r="E26" s="692">
        <v>0</v>
      </c>
      <c r="F26" s="693">
        <v>0</v>
      </c>
      <c r="G26" s="693">
        <v>0</v>
      </c>
      <c r="H26" s="694"/>
      <c r="I26" s="692">
        <v>-2394.9432679785914</v>
      </c>
      <c r="J26" s="695">
        <v>12668.616208157249</v>
      </c>
      <c r="K26" s="695">
        <v>13950.975911304275</v>
      </c>
      <c r="L26" s="696">
        <v>-1282.3597031470254</v>
      </c>
      <c r="M26" s="697"/>
      <c r="N26" s="697">
        <v>0</v>
      </c>
      <c r="O26" s="697">
        <v>0</v>
      </c>
      <c r="P26" s="692">
        <v>0</v>
      </c>
      <c r="Q26" s="692">
        <v>-401.87498597030782</v>
      </c>
      <c r="R26" s="698">
        <v>-4079.1779570959247</v>
      </c>
      <c r="S26" s="698"/>
      <c r="T26" s="702">
        <v>-4079.1779570959247</v>
      </c>
      <c r="U26" s="700"/>
      <c r="V26" s="701">
        <v>-3677.3029711256168</v>
      </c>
      <c r="W26" s="700" t="s">
        <v>1600</v>
      </c>
    </row>
    <row r="27" spans="1:23" ht="16.5" customHeight="1">
      <c r="A27" s="619" t="s">
        <v>1601</v>
      </c>
      <c r="B27" s="281" t="s">
        <v>1591</v>
      </c>
      <c r="C27" s="620" t="s">
        <v>1626</v>
      </c>
      <c r="D27" s="617">
        <v>2011</v>
      </c>
      <c r="E27" s="692">
        <v>0</v>
      </c>
      <c r="F27" s="693">
        <v>0</v>
      </c>
      <c r="G27" s="693">
        <v>0</v>
      </c>
      <c r="H27" s="694"/>
      <c r="I27" s="692">
        <v>-36042.938271908177</v>
      </c>
      <c r="J27" s="695">
        <v>187484.87969248198</v>
      </c>
      <c r="K27" s="695">
        <v>206462.72626361734</v>
      </c>
      <c r="L27" s="696">
        <v>-18977.846571135364</v>
      </c>
      <c r="M27" s="697"/>
      <c r="N27" s="697">
        <v>0</v>
      </c>
      <c r="O27" s="697">
        <v>0</v>
      </c>
      <c r="P27" s="692">
        <v>0</v>
      </c>
      <c r="Q27" s="692">
        <v>-6012.9603980128841</v>
      </c>
      <c r="R27" s="698">
        <v>-61033.745241056422</v>
      </c>
      <c r="S27" s="698"/>
      <c r="T27" s="702">
        <v>-61033.745241056422</v>
      </c>
      <c r="U27" s="700"/>
      <c r="V27" s="701">
        <v>-55020.784843043541</v>
      </c>
      <c r="W27" s="700" t="s">
        <v>1601</v>
      </c>
    </row>
    <row r="28" spans="1:23" ht="17.25" customHeight="1">
      <c r="A28" s="619" t="s">
        <v>1602</v>
      </c>
      <c r="B28" s="281" t="s">
        <v>1591</v>
      </c>
      <c r="C28" s="620" t="s">
        <v>1627</v>
      </c>
      <c r="D28" s="617">
        <v>2012</v>
      </c>
      <c r="E28" s="692">
        <v>0</v>
      </c>
      <c r="F28" s="693">
        <v>0</v>
      </c>
      <c r="G28" s="693">
        <v>0</v>
      </c>
      <c r="H28" s="694"/>
      <c r="I28" s="692">
        <v>-89738.557988318731</v>
      </c>
      <c r="J28" s="695">
        <v>455629.23603599746</v>
      </c>
      <c r="K28" s="695">
        <v>501749.55117286404</v>
      </c>
      <c r="L28" s="696">
        <v>-46120.315136866586</v>
      </c>
      <c r="M28" s="697"/>
      <c r="N28" s="697">
        <v>0</v>
      </c>
      <c r="O28" s="697">
        <v>0</v>
      </c>
      <c r="P28" s="692">
        <v>0</v>
      </c>
      <c r="Q28" s="692">
        <v>-14847.371337046299</v>
      </c>
      <c r="R28" s="698">
        <v>-150706.24446223161</v>
      </c>
      <c r="S28" s="698"/>
      <c r="T28" s="702">
        <v>-150706.24446223161</v>
      </c>
      <c r="U28" s="700"/>
      <c r="V28" s="701">
        <v>-135858.87312518532</v>
      </c>
      <c r="W28" s="700" t="s">
        <v>1602</v>
      </c>
    </row>
    <row r="29" spans="1:23" ht="17.25" customHeight="1">
      <c r="A29" s="619" t="s">
        <v>1603</v>
      </c>
      <c r="B29" s="281" t="s">
        <v>1591</v>
      </c>
      <c r="C29" s="620" t="s">
        <v>1628</v>
      </c>
      <c r="D29" s="617">
        <v>2010</v>
      </c>
      <c r="E29" s="692">
        <v>0</v>
      </c>
      <c r="F29" s="693">
        <v>0</v>
      </c>
      <c r="G29" s="693">
        <v>0</v>
      </c>
      <c r="H29" s="694"/>
      <c r="I29" s="692">
        <v>-584.74496475343722</v>
      </c>
      <c r="J29" s="695">
        <v>3014.3910061676193</v>
      </c>
      <c r="K29" s="695">
        <v>3319.5177455307689</v>
      </c>
      <c r="L29" s="696">
        <v>-305.12673936314968</v>
      </c>
      <c r="M29" s="697"/>
      <c r="N29" s="697">
        <v>0</v>
      </c>
      <c r="O29" s="697">
        <v>0</v>
      </c>
      <c r="P29" s="692">
        <v>0</v>
      </c>
      <c r="Q29" s="692">
        <v>-97.249854421911081</v>
      </c>
      <c r="R29" s="698">
        <v>-987.12155853849799</v>
      </c>
      <c r="S29" s="698"/>
      <c r="T29" s="702">
        <v>-987.12155853849799</v>
      </c>
      <c r="U29" s="700"/>
      <c r="V29" s="701">
        <v>-889.8717041165869</v>
      </c>
      <c r="W29" s="700" t="s">
        <v>1603</v>
      </c>
    </row>
    <row r="30" spans="1:23" ht="17.25" customHeight="1">
      <c r="A30" s="615" t="s">
        <v>1604</v>
      </c>
      <c r="B30" s="281" t="s">
        <v>1591</v>
      </c>
      <c r="C30" s="620" t="s">
        <v>1629</v>
      </c>
      <c r="D30" s="617">
        <v>2013</v>
      </c>
      <c r="E30" s="692">
        <v>0</v>
      </c>
      <c r="F30" s="693">
        <v>0</v>
      </c>
      <c r="G30" s="693">
        <v>0</v>
      </c>
      <c r="H30" s="694"/>
      <c r="I30" s="692">
        <v>-17618.550343754774</v>
      </c>
      <c r="J30" s="695">
        <v>153879.16125379578</v>
      </c>
      <c r="K30" s="695">
        <v>169455.32460925938</v>
      </c>
      <c r="L30" s="696">
        <v>-15576.163355463592</v>
      </c>
      <c r="M30" s="697"/>
      <c r="N30" s="697">
        <v>0</v>
      </c>
      <c r="O30" s="697">
        <v>0</v>
      </c>
      <c r="P30" s="692">
        <v>0</v>
      </c>
      <c r="Q30" s="692">
        <v>-3627.6926886115057</v>
      </c>
      <c r="R30" s="698">
        <v>-36822.406387829869</v>
      </c>
      <c r="S30" s="698"/>
      <c r="T30" s="702">
        <v>-36822.406387829869</v>
      </c>
      <c r="U30" s="700"/>
      <c r="V30" s="701">
        <v>-33194.713699218366</v>
      </c>
      <c r="W30" s="700" t="s">
        <v>1604</v>
      </c>
    </row>
    <row r="31" spans="1:23" ht="17.25" customHeight="1">
      <c r="A31" s="615" t="s">
        <v>1605</v>
      </c>
      <c r="B31" s="281" t="s">
        <v>1591</v>
      </c>
      <c r="C31" s="620" t="s">
        <v>1630</v>
      </c>
      <c r="D31" s="617">
        <v>2014</v>
      </c>
      <c r="E31" s="692">
        <v>0</v>
      </c>
      <c r="F31" s="693">
        <v>0</v>
      </c>
      <c r="G31" s="693">
        <v>0</v>
      </c>
      <c r="H31" s="694"/>
      <c r="I31" s="692">
        <v>-61735.852779340115</v>
      </c>
      <c r="J31" s="695">
        <v>316272.79260298092</v>
      </c>
      <c r="K31" s="695">
        <v>348286.98245385761</v>
      </c>
      <c r="L31" s="696">
        <v>-32014.18985087669</v>
      </c>
      <c r="M31" s="697"/>
      <c r="N31" s="697">
        <v>0</v>
      </c>
      <c r="O31" s="697">
        <v>0</v>
      </c>
      <c r="P31" s="692">
        <v>0</v>
      </c>
      <c r="Q31" s="692">
        <v>-10245.497138138073</v>
      </c>
      <c r="R31" s="698">
        <v>-103995.53976835488</v>
      </c>
      <c r="S31" s="698"/>
      <c r="T31" s="702">
        <v>-103995.53976835488</v>
      </c>
      <c r="U31" s="700"/>
      <c r="V31" s="701">
        <v>-93750.042630216805</v>
      </c>
      <c r="W31" s="700" t="s">
        <v>1605</v>
      </c>
    </row>
    <row r="32" spans="1:23" ht="17.25" customHeight="1">
      <c r="A32" s="615" t="s">
        <v>1606</v>
      </c>
      <c r="B32" s="281" t="s">
        <v>1591</v>
      </c>
      <c r="C32" s="620" t="s">
        <v>1631</v>
      </c>
      <c r="D32" s="617">
        <v>2014</v>
      </c>
      <c r="E32" s="692">
        <v>0</v>
      </c>
      <c r="F32" s="693">
        <v>0</v>
      </c>
      <c r="G32" s="693">
        <v>0</v>
      </c>
      <c r="H32" s="694"/>
      <c r="I32" s="692">
        <v>-141271.36365005036</v>
      </c>
      <c r="J32" s="695">
        <v>722105.79100204678</v>
      </c>
      <c r="K32" s="695">
        <v>795199.75427120691</v>
      </c>
      <c r="L32" s="696">
        <v>-73093.963269160129</v>
      </c>
      <c r="M32" s="697"/>
      <c r="N32" s="697">
        <v>0</v>
      </c>
      <c r="O32" s="697">
        <v>0</v>
      </c>
      <c r="P32" s="692">
        <v>0</v>
      </c>
      <c r="Q32" s="692">
        <v>-23426.969010880381</v>
      </c>
      <c r="R32" s="698">
        <v>-237792.29593009088</v>
      </c>
      <c r="S32" s="698"/>
      <c r="T32" s="702">
        <v>-237792.29593009088</v>
      </c>
      <c r="U32" s="700"/>
      <c r="V32" s="701">
        <v>-214365.32691921049</v>
      </c>
      <c r="W32" s="700" t="s">
        <v>1606</v>
      </c>
    </row>
    <row r="33" spans="1:23" ht="17.25" customHeight="1">
      <c r="A33" s="615" t="s">
        <v>1607</v>
      </c>
      <c r="B33" s="281" t="s">
        <v>1591</v>
      </c>
      <c r="C33" s="620" t="s">
        <v>1632</v>
      </c>
      <c r="D33" s="617">
        <v>2015</v>
      </c>
      <c r="E33" s="692">
        <v>0</v>
      </c>
      <c r="F33" s="693">
        <v>0</v>
      </c>
      <c r="G33" s="693">
        <v>0</v>
      </c>
      <c r="H33" s="694"/>
      <c r="I33" s="692">
        <v>-48296.684740654135</v>
      </c>
      <c r="J33" s="695">
        <v>240995.59805125374</v>
      </c>
      <c r="K33" s="695">
        <v>265389.97850282618</v>
      </c>
      <c r="L33" s="696">
        <v>-24394.380451572448</v>
      </c>
      <c r="M33" s="697"/>
      <c r="N33" s="697">
        <v>0</v>
      </c>
      <c r="O33" s="697">
        <v>0</v>
      </c>
      <c r="P33" s="692">
        <v>0</v>
      </c>
      <c r="Q33" s="692">
        <v>-7944.0614585397689</v>
      </c>
      <c r="R33" s="698">
        <v>-80635.126650766353</v>
      </c>
      <c r="S33" s="698"/>
      <c r="T33" s="702">
        <v>-80635.126650766353</v>
      </c>
      <c r="U33" s="700"/>
      <c r="V33" s="701">
        <v>-72691.065192226582</v>
      </c>
      <c r="W33" s="700" t="s">
        <v>1607</v>
      </c>
    </row>
    <row r="34" spans="1:23" ht="17.25" customHeight="1">
      <c r="A34" s="615" t="s">
        <v>1608</v>
      </c>
      <c r="B34" s="281" t="s">
        <v>1591</v>
      </c>
      <c r="C34" s="620" t="s">
        <v>1633</v>
      </c>
      <c r="D34" s="617">
        <v>2014</v>
      </c>
      <c r="E34" s="692">
        <v>0</v>
      </c>
      <c r="F34" s="705">
        <v>0</v>
      </c>
      <c r="G34" s="705">
        <v>0</v>
      </c>
      <c r="H34" s="706"/>
      <c r="I34" s="707">
        <v>-45364.486882912606</v>
      </c>
      <c r="J34" s="695">
        <v>244915.0986335073</v>
      </c>
      <c r="K34" s="708">
        <v>269706.22404289979</v>
      </c>
      <c r="L34" s="696">
        <v>-24791.125409392494</v>
      </c>
      <c r="M34" s="697"/>
      <c r="N34" s="697">
        <v>0</v>
      </c>
      <c r="O34" s="697">
        <v>0</v>
      </c>
      <c r="P34" s="707">
        <v>0</v>
      </c>
      <c r="Q34" s="707">
        <v>-7666.9738466173749</v>
      </c>
      <c r="R34" s="709">
        <v>-77822.586138922474</v>
      </c>
      <c r="S34" s="709"/>
      <c r="T34" s="710">
        <v>-77822.586138922474</v>
      </c>
      <c r="U34" s="700"/>
      <c r="V34" s="701">
        <v>-70155.612292305101</v>
      </c>
      <c r="W34" s="700" t="s">
        <v>1608</v>
      </c>
    </row>
    <row r="35" spans="1:23" ht="17.25" customHeight="1">
      <c r="A35" s="615" t="s">
        <v>1609</v>
      </c>
      <c r="B35" s="281" t="s">
        <v>1591</v>
      </c>
      <c r="C35" s="620" t="s">
        <v>1634</v>
      </c>
      <c r="D35" s="617">
        <v>2017</v>
      </c>
      <c r="E35" s="692">
        <v>0</v>
      </c>
      <c r="F35" s="705">
        <v>0</v>
      </c>
      <c r="G35" s="705">
        <v>0</v>
      </c>
      <c r="H35" s="706"/>
      <c r="I35" s="707">
        <v>-41140.914743962756</v>
      </c>
      <c r="J35" s="695">
        <v>205998.2169756256</v>
      </c>
      <c r="K35" s="708">
        <v>226850.04546495868</v>
      </c>
      <c r="L35" s="696">
        <v>-20851.828489333071</v>
      </c>
      <c r="M35" s="697"/>
      <c r="N35" s="697">
        <v>0</v>
      </c>
      <c r="O35" s="697">
        <v>0</v>
      </c>
      <c r="P35" s="707">
        <v>0</v>
      </c>
      <c r="Q35" s="707">
        <v>-6774.8926353804682</v>
      </c>
      <c r="R35" s="709">
        <v>-68767.635868676298</v>
      </c>
      <c r="S35" s="709"/>
      <c r="T35" s="710">
        <v>-68767.635868676298</v>
      </c>
      <c r="U35" s="700"/>
      <c r="V35" s="701">
        <v>-61992.743233295827</v>
      </c>
      <c r="W35" s="700" t="s">
        <v>1609</v>
      </c>
    </row>
    <row r="36" spans="1:23" ht="17.25" customHeight="1">
      <c r="A36" s="615" t="s">
        <v>1610</v>
      </c>
      <c r="B36" s="281" t="s">
        <v>1591</v>
      </c>
      <c r="C36" s="620" t="s">
        <v>1635</v>
      </c>
      <c r="D36" s="617">
        <v>2018</v>
      </c>
      <c r="E36" s="692">
        <v>0</v>
      </c>
      <c r="F36" s="693">
        <v>0</v>
      </c>
      <c r="G36" s="693">
        <v>0</v>
      </c>
      <c r="H36" s="694"/>
      <c r="I36" s="692">
        <v>-15390.802075635409</v>
      </c>
      <c r="J36" s="695">
        <v>87696.739331146033</v>
      </c>
      <c r="K36" s="708">
        <v>96573.696590553649</v>
      </c>
      <c r="L36" s="696">
        <v>-8876.9572594076162</v>
      </c>
      <c r="M36" s="697"/>
      <c r="N36" s="697">
        <v>0</v>
      </c>
      <c r="O36" s="697">
        <v>0</v>
      </c>
      <c r="P36" s="707">
        <v>0</v>
      </c>
      <c r="Q36" s="707">
        <v>-2652.1082214000894</v>
      </c>
      <c r="R36" s="709">
        <v>-26919.867556443114</v>
      </c>
      <c r="S36" s="709"/>
      <c r="T36" s="710">
        <v>-26919.867556443114</v>
      </c>
      <c r="U36" s="700"/>
      <c r="V36" s="701">
        <v>-24267.759335043025</v>
      </c>
      <c r="W36" s="700" t="s">
        <v>1610</v>
      </c>
    </row>
    <row r="37" spans="1:23" ht="17.25" customHeight="1">
      <c r="A37" s="615" t="s">
        <v>1611</v>
      </c>
      <c r="B37" s="281" t="s">
        <v>1591</v>
      </c>
      <c r="C37" s="620" t="s">
        <v>1636</v>
      </c>
      <c r="D37" s="617">
        <v>2017</v>
      </c>
      <c r="E37" s="692">
        <v>0</v>
      </c>
      <c r="F37" s="693">
        <v>0</v>
      </c>
      <c r="G37" s="693">
        <v>0</v>
      </c>
      <c r="H37" s="694"/>
      <c r="I37" s="692">
        <v>416.0187867167042</v>
      </c>
      <c r="J37" s="695">
        <v>40500.711549338856</v>
      </c>
      <c r="K37" s="708">
        <v>44600.329028176988</v>
      </c>
      <c r="L37" s="696">
        <v>-4099.6174788381322</v>
      </c>
      <c r="M37" s="697"/>
      <c r="N37" s="697">
        <v>0</v>
      </c>
      <c r="O37" s="697">
        <v>0</v>
      </c>
      <c r="P37" s="707">
        <v>0</v>
      </c>
      <c r="Q37" s="707">
        <v>-402.56301543285991</v>
      </c>
      <c r="R37" s="709">
        <v>-4086.1617075542881</v>
      </c>
      <c r="S37" s="709"/>
      <c r="T37" s="710">
        <v>-4086.1617075542881</v>
      </c>
      <c r="U37" s="700"/>
      <c r="V37" s="701">
        <v>-3683.598692121428</v>
      </c>
      <c r="W37" s="700" t="s">
        <v>1611</v>
      </c>
    </row>
    <row r="38" spans="1:23" ht="17.25" customHeight="1">
      <c r="A38" s="615" t="s">
        <v>1612</v>
      </c>
      <c r="B38" s="281" t="s">
        <v>1591</v>
      </c>
      <c r="C38" s="620" t="s">
        <v>1637</v>
      </c>
      <c r="D38" s="617">
        <v>2018</v>
      </c>
      <c r="E38" s="692">
        <v>0</v>
      </c>
      <c r="F38" s="693">
        <v>0</v>
      </c>
      <c r="G38" s="693">
        <v>0</v>
      </c>
      <c r="H38" s="694"/>
      <c r="I38" s="692">
        <v>-6504.8373273374764</v>
      </c>
      <c r="J38" s="695">
        <v>19038.576480221469</v>
      </c>
      <c r="K38" s="708">
        <v>20965.724866625227</v>
      </c>
      <c r="L38" s="696">
        <v>-1927.1483864037582</v>
      </c>
      <c r="M38" s="697"/>
      <c r="N38" s="697">
        <v>0</v>
      </c>
      <c r="O38" s="697">
        <v>0</v>
      </c>
      <c r="P38" s="707">
        <v>0</v>
      </c>
      <c r="Q38" s="707">
        <v>-921.49169296604032</v>
      </c>
      <c r="R38" s="709">
        <v>-9353.4774067072758</v>
      </c>
      <c r="S38" s="709"/>
      <c r="T38" s="710">
        <v>-9353.4774067072758</v>
      </c>
      <c r="U38" s="700"/>
      <c r="V38" s="701">
        <v>-8431.9857137412346</v>
      </c>
      <c r="W38" s="700" t="s">
        <v>1612</v>
      </c>
    </row>
    <row r="39" spans="1:23" ht="17.25" customHeight="1">
      <c r="A39" s="615" t="s">
        <v>1613</v>
      </c>
      <c r="B39" s="281" t="s">
        <v>1591</v>
      </c>
      <c r="C39" s="620" t="s">
        <v>1638</v>
      </c>
      <c r="D39" s="617">
        <v>2018</v>
      </c>
      <c r="E39" s="692">
        <v>0</v>
      </c>
      <c r="F39" s="693">
        <v>0</v>
      </c>
      <c r="G39" s="693">
        <v>0</v>
      </c>
      <c r="H39" s="694"/>
      <c r="I39" s="692">
        <v>-47400.003147565687</v>
      </c>
      <c r="J39" s="695">
        <v>138731.92205669577</v>
      </c>
      <c r="K39" s="708">
        <v>152774.83120024446</v>
      </c>
      <c r="L39" s="696">
        <v>-14042.909143548692</v>
      </c>
      <c r="M39" s="697"/>
      <c r="N39" s="697">
        <v>0</v>
      </c>
      <c r="O39" s="697">
        <v>0</v>
      </c>
      <c r="P39" s="707">
        <v>0</v>
      </c>
      <c r="Q39" s="707">
        <v>-6714.8042216951599</v>
      </c>
      <c r="R39" s="709">
        <v>-68157.716512809537</v>
      </c>
      <c r="S39" s="709"/>
      <c r="T39" s="710">
        <v>-68157.716512809537</v>
      </c>
      <c r="U39" s="700"/>
      <c r="V39" s="701">
        <v>-61442.912291114379</v>
      </c>
      <c r="W39" s="700" t="s">
        <v>1613</v>
      </c>
    </row>
    <row r="40" spans="1:23" ht="17.25" customHeight="1">
      <c r="A40" s="615" t="s">
        <v>1614</v>
      </c>
      <c r="B40" s="281" t="s">
        <v>1591</v>
      </c>
      <c r="C40" s="620" t="s">
        <v>1639</v>
      </c>
      <c r="D40" s="617">
        <v>2018</v>
      </c>
      <c r="E40" s="692">
        <v>0</v>
      </c>
      <c r="F40" s="693">
        <v>0</v>
      </c>
      <c r="G40" s="693">
        <v>0</v>
      </c>
      <c r="H40" s="694"/>
      <c r="I40" s="692">
        <v>-27335.272836045813</v>
      </c>
      <c r="J40" s="695">
        <v>81460.13871045578</v>
      </c>
      <c r="K40" s="708">
        <v>89705.806396543994</v>
      </c>
      <c r="L40" s="696">
        <v>-8245.6676860882144</v>
      </c>
      <c r="M40" s="697"/>
      <c r="N40" s="697">
        <v>0</v>
      </c>
      <c r="O40" s="697">
        <v>0</v>
      </c>
      <c r="P40" s="707">
        <v>0</v>
      </c>
      <c r="Q40" s="707">
        <v>-3888.4720909373536</v>
      </c>
      <c r="R40" s="709">
        <v>-39469.412613071385</v>
      </c>
      <c r="S40" s="709"/>
      <c r="T40" s="710">
        <v>-39469.412613071385</v>
      </c>
      <c r="U40" s="700"/>
      <c r="V40" s="701">
        <v>-35580.940522134028</v>
      </c>
      <c r="W40" s="700" t="s">
        <v>1614</v>
      </c>
    </row>
    <row r="41" spans="1:23" ht="17.25" customHeight="1">
      <c r="A41" s="615" t="s">
        <v>1615</v>
      </c>
      <c r="B41" s="281" t="s">
        <v>1591</v>
      </c>
      <c r="C41" s="620" t="s">
        <v>1640</v>
      </c>
      <c r="D41" s="617">
        <v>2018</v>
      </c>
      <c r="E41" s="707"/>
      <c r="F41" s="705">
        <v>0</v>
      </c>
      <c r="G41" s="705"/>
      <c r="H41" s="706"/>
      <c r="I41" s="707">
        <v>-65942.958696918096</v>
      </c>
      <c r="J41" s="695">
        <v>94880.774589956171</v>
      </c>
      <c r="K41" s="708">
        <v>104484.92392547654</v>
      </c>
      <c r="L41" s="696">
        <v>-9604.1493355203711</v>
      </c>
      <c r="M41" s="697"/>
      <c r="N41" s="697">
        <v>0</v>
      </c>
      <c r="O41" s="697">
        <v>0</v>
      </c>
      <c r="P41" s="707">
        <v>0</v>
      </c>
      <c r="Q41" s="707">
        <v>-8256.1848232320772</v>
      </c>
      <c r="R41" s="709">
        <v>-83803.292855670545</v>
      </c>
      <c r="S41" s="709"/>
      <c r="T41" s="710">
        <v>-83803.292855670545</v>
      </c>
      <c r="U41" s="700"/>
      <c r="V41" s="701">
        <v>-75547.108032438467</v>
      </c>
      <c r="W41" s="700" t="s">
        <v>1615</v>
      </c>
    </row>
    <row r="42" spans="1:23" ht="17.25" customHeight="1">
      <c r="A42" s="569"/>
      <c r="B42" s="567"/>
      <c r="C42" s="568"/>
      <c r="D42" s="545"/>
      <c r="E42" s="696"/>
      <c r="F42" s="697"/>
      <c r="G42" s="697">
        <f>+E42+F42</f>
        <v>0</v>
      </c>
      <c r="H42" s="706"/>
      <c r="I42" s="696"/>
      <c r="J42" s="696"/>
      <c r="K42" s="696"/>
      <c r="L42" s="696"/>
      <c r="M42" s="697">
        <v>0</v>
      </c>
      <c r="N42" s="697">
        <v>0</v>
      </c>
      <c r="O42" s="697">
        <f>+M42-N42</f>
        <v>0</v>
      </c>
      <c r="P42" s="696"/>
      <c r="Q42" s="696"/>
      <c r="R42" s="711">
        <f t="shared" ref="R42:R43" si="0">K42+O42+P42+Q42</f>
        <v>0</v>
      </c>
      <c r="S42" s="712"/>
      <c r="T42" s="713">
        <f t="shared" ref="T42:T43" si="1">+G42+R42</f>
        <v>0</v>
      </c>
      <c r="U42" s="700"/>
      <c r="V42" s="701">
        <f t="shared" ref="V42:V43" si="2">+K42+O42+P42</f>
        <v>0</v>
      </c>
      <c r="W42" s="700">
        <f t="shared" ref="W42:W43" si="3">A42</f>
        <v>0</v>
      </c>
    </row>
    <row r="43" spans="1:23" ht="17.25" customHeight="1">
      <c r="A43" s="569"/>
      <c r="B43" s="567"/>
      <c r="C43" s="568"/>
      <c r="D43" s="545"/>
      <c r="E43" s="696"/>
      <c r="F43" s="697"/>
      <c r="G43" s="697">
        <f>+E43+F43</f>
        <v>0</v>
      </c>
      <c r="H43" s="706"/>
      <c r="I43" s="696"/>
      <c r="J43" s="696"/>
      <c r="K43" s="696">
        <f>+I43-J43</f>
        <v>0</v>
      </c>
      <c r="L43" s="696"/>
      <c r="M43" s="697">
        <v>0</v>
      </c>
      <c r="N43" s="697">
        <v>0</v>
      </c>
      <c r="O43" s="697">
        <f>+M43-N43</f>
        <v>0</v>
      </c>
      <c r="P43" s="696"/>
      <c r="Q43" s="696"/>
      <c r="R43" s="711">
        <f t="shared" si="0"/>
        <v>0</v>
      </c>
      <c r="S43" s="712"/>
      <c r="T43" s="713">
        <f t="shared" si="1"/>
        <v>0</v>
      </c>
      <c r="U43" s="700"/>
      <c r="V43" s="701">
        <f t="shared" si="2"/>
        <v>0</v>
      </c>
      <c r="W43" s="700">
        <f t="shared" si="3"/>
        <v>0</v>
      </c>
    </row>
    <row r="44" spans="1:23" ht="17.25" customHeight="1">
      <c r="A44" s="569"/>
      <c r="B44" s="567"/>
      <c r="C44" s="568"/>
      <c r="D44" s="545"/>
      <c r="E44" s="696"/>
      <c r="F44" s="697"/>
      <c r="G44" s="697"/>
      <c r="H44" s="706"/>
      <c r="I44" s="714"/>
      <c r="J44" s="714"/>
      <c r="K44" s="696"/>
      <c r="L44" s="696"/>
      <c r="M44" s="697"/>
      <c r="N44" s="697"/>
      <c r="O44" s="697"/>
      <c r="P44" s="697"/>
      <c r="Q44" s="696"/>
      <c r="R44" s="711"/>
      <c r="S44" s="712"/>
      <c r="T44" s="713"/>
      <c r="U44" s="700"/>
      <c r="V44" s="701"/>
      <c r="W44" s="700"/>
    </row>
    <row r="45" spans="1:23">
      <c r="A45" s="570"/>
      <c r="B45" s="571"/>
      <c r="C45" s="571"/>
      <c r="D45" s="567"/>
      <c r="E45" s="715"/>
      <c r="F45" s="715"/>
      <c r="G45" s="715"/>
      <c r="H45" s="711"/>
      <c r="I45" s="716"/>
      <c r="J45" s="716"/>
      <c r="K45" s="715"/>
      <c r="L45" s="715"/>
      <c r="M45" s="715"/>
      <c r="N45" s="715"/>
      <c r="O45" s="715"/>
      <c r="P45" s="715"/>
      <c r="Q45" s="715"/>
      <c r="R45" s="715"/>
      <c r="S45" s="711"/>
      <c r="T45" s="717"/>
      <c r="U45" s="700"/>
      <c r="V45" s="718"/>
      <c r="W45" s="700"/>
    </row>
    <row r="46" spans="1:23" ht="13.5" thickBot="1">
      <c r="A46" s="572"/>
      <c r="B46" s="573"/>
      <c r="C46" s="574" t="s">
        <v>1380</v>
      </c>
      <c r="D46" s="575"/>
      <c r="E46" s="719">
        <f>SUM(E17:E45)</f>
        <v>0</v>
      </c>
      <c r="F46" s="719">
        <f>SUM(F17:F45)</f>
        <v>0</v>
      </c>
      <c r="G46" s="719">
        <f>SUM(G17:G45)</f>
        <v>0</v>
      </c>
      <c r="H46" s="719"/>
      <c r="I46" s="720">
        <f>SUM(I17:I45)</f>
        <v>-1478847.9388766706</v>
      </c>
      <c r="J46" s="720">
        <f>SUM(J17:J45)</f>
        <v>7312332.2712000329</v>
      </c>
      <c r="K46" s="719">
        <f>SUM(K17:K45)</f>
        <v>8052511.0000000028</v>
      </c>
      <c r="L46" s="719"/>
      <c r="M46" s="719">
        <f>SUM(M17:M45)</f>
        <v>0</v>
      </c>
      <c r="N46" s="719">
        <f>SUM(N17:N45)</f>
        <v>0</v>
      </c>
      <c r="O46" s="719">
        <f>SUM(O17:O45)</f>
        <v>0</v>
      </c>
      <c r="P46" s="721"/>
      <c r="Q46" s="721"/>
      <c r="R46" s="719">
        <f>SUM(R17:R45)</f>
        <v>-2461533.5587167623</v>
      </c>
      <c r="S46" s="719"/>
      <c r="T46" s="722">
        <f>SUM(T17:T45)</f>
        <v>-2461533.5587167623</v>
      </c>
      <c r="U46" s="700"/>
      <c r="V46" s="723">
        <f>SUM(V17:V45)</f>
        <v>-2219026.6676766374</v>
      </c>
      <c r="W46" s="724"/>
    </row>
    <row r="47" spans="1:23" ht="13.5" thickBot="1">
      <c r="A47" s="282"/>
      <c r="B47" s="282"/>
      <c r="C47" s="576"/>
      <c r="D47" s="282"/>
      <c r="E47" s="725"/>
      <c r="F47" s="726"/>
      <c r="G47" s="726"/>
      <c r="H47" s="727"/>
      <c r="I47" s="728"/>
      <c r="J47" s="729"/>
      <c r="K47" s="730"/>
      <c r="L47" s="730"/>
      <c r="M47" s="730"/>
      <c r="N47" s="730"/>
      <c r="O47" s="730"/>
      <c r="P47" s="730"/>
      <c r="Q47" s="731"/>
      <c r="R47" s="726"/>
      <c r="S47" s="726"/>
      <c r="T47" s="726"/>
      <c r="U47" s="700"/>
      <c r="V47" s="732"/>
      <c r="W47" s="724"/>
    </row>
    <row r="48" spans="1:23">
      <c r="A48" s="282"/>
      <c r="B48" s="282"/>
      <c r="C48" s="579" t="s">
        <v>1088</v>
      </c>
      <c r="D48" s="282"/>
      <c r="E48" s="726"/>
      <c r="F48" s="726"/>
      <c r="G48" s="726"/>
      <c r="H48" s="727"/>
      <c r="I48" s="733"/>
      <c r="J48" s="734"/>
      <c r="K48" s="727"/>
      <c r="L48" s="727"/>
      <c r="M48" s="730"/>
      <c r="N48" s="730"/>
      <c r="O48" s="730"/>
      <c r="P48" s="730"/>
      <c r="Q48" s="730"/>
      <c r="R48" s="726"/>
      <c r="S48" s="726"/>
      <c r="T48" s="726"/>
      <c r="U48" s="700"/>
      <c r="V48" s="700"/>
      <c r="W48" s="700"/>
    </row>
    <row r="49" spans="1:23">
      <c r="A49" s="282"/>
      <c r="B49" s="282"/>
      <c r="C49" s="579"/>
      <c r="D49" s="282"/>
      <c r="E49" s="726"/>
      <c r="F49" s="726"/>
      <c r="G49" s="726"/>
      <c r="H49" s="727"/>
      <c r="I49" s="735"/>
      <c r="J49" s="736"/>
      <c r="K49" s="727"/>
      <c r="L49" s="727"/>
      <c r="M49" s="730"/>
      <c r="N49" s="730"/>
      <c r="O49" s="730"/>
      <c r="P49" s="730"/>
      <c r="Q49" s="737"/>
      <c r="R49" s="730"/>
      <c r="S49" s="727"/>
      <c r="T49" s="727"/>
      <c r="U49" s="700"/>
      <c r="V49" s="700"/>
      <c r="W49" s="700"/>
    </row>
    <row r="50" spans="1:23">
      <c r="E50" s="738"/>
      <c r="F50" s="738"/>
      <c r="G50" s="738"/>
      <c r="H50" s="700"/>
      <c r="I50" s="739"/>
      <c r="J50" s="740"/>
      <c r="K50" s="700"/>
      <c r="L50" s="700"/>
      <c r="M50" s="741"/>
      <c r="N50" s="741"/>
      <c r="O50" s="741"/>
      <c r="P50" s="741"/>
      <c r="Q50" s="741"/>
      <c r="R50" s="741"/>
      <c r="S50" s="700"/>
      <c r="T50" s="700"/>
      <c r="U50" s="700"/>
      <c r="V50" s="700"/>
      <c r="W50" s="700"/>
    </row>
    <row r="51" spans="1:23" ht="12.75" customHeight="1">
      <c r="E51" s="700"/>
      <c r="F51" s="700"/>
      <c r="G51" s="700"/>
      <c r="H51" s="700"/>
      <c r="I51" s="700"/>
      <c r="J51" s="700"/>
      <c r="K51" s="700"/>
      <c r="L51" s="700"/>
      <c r="M51" s="700"/>
      <c r="N51" s="700"/>
      <c r="O51" s="700"/>
      <c r="P51" s="700"/>
      <c r="Q51" s="700"/>
      <c r="R51" s="700"/>
      <c r="S51" s="700"/>
      <c r="T51" s="700"/>
      <c r="U51" s="700"/>
      <c r="V51" s="700"/>
      <c r="W51" s="700"/>
    </row>
    <row r="52" spans="1:23" ht="12.75" customHeight="1">
      <c r="E52" s="700"/>
      <c r="F52" s="700"/>
      <c r="G52" s="700"/>
      <c r="H52" s="700"/>
      <c r="I52" s="700"/>
      <c r="J52" s="700"/>
      <c r="K52" s="700"/>
      <c r="L52" s="700"/>
      <c r="M52" s="700"/>
      <c r="N52" s="700"/>
      <c r="O52" s="700"/>
      <c r="P52" s="700"/>
      <c r="Q52" s="700"/>
      <c r="R52" s="700"/>
      <c r="S52" s="700"/>
      <c r="T52" s="700"/>
      <c r="U52" s="700"/>
      <c r="V52" s="700"/>
      <c r="W52" s="700"/>
    </row>
    <row r="53" spans="1:23" ht="12.75" customHeight="1">
      <c r="C53" s="612" t="s">
        <v>1585</v>
      </c>
      <c r="D53" s="281"/>
      <c r="E53" s="698"/>
      <c r="F53" s="698"/>
      <c r="G53" s="698"/>
      <c r="H53" s="698"/>
      <c r="I53" s="698"/>
      <c r="J53" s="698"/>
      <c r="K53" s="692"/>
      <c r="L53" s="698"/>
      <c r="M53" s="698"/>
      <c r="N53" s="698"/>
      <c r="O53" s="698"/>
      <c r="P53" s="698"/>
      <c r="Q53" s="700"/>
      <c r="R53" s="700"/>
      <c r="S53" s="700"/>
      <c r="T53" s="700"/>
      <c r="U53" s="700"/>
      <c r="V53" s="700"/>
      <c r="W53" s="700"/>
    </row>
    <row r="54" spans="1:23" ht="12.75" customHeight="1">
      <c r="C54" s="614" t="s">
        <v>1835</v>
      </c>
      <c r="D54" s="281"/>
      <c r="E54" s="742">
        <v>0</v>
      </c>
      <c r="F54" s="742">
        <v>0</v>
      </c>
      <c r="G54" s="742">
        <v>0</v>
      </c>
      <c r="H54" s="709"/>
      <c r="I54" s="742">
        <f>+I46</f>
        <v>-1478847.9388766706</v>
      </c>
      <c r="J54" s="742">
        <f>+J46</f>
        <v>7312332.2712000329</v>
      </c>
      <c r="K54" s="742">
        <f>+K46</f>
        <v>8052511.0000000028</v>
      </c>
      <c r="L54" s="742">
        <v>258798.22725226279</v>
      </c>
      <c r="M54" s="742">
        <v>0</v>
      </c>
      <c r="N54" s="742">
        <v>0</v>
      </c>
      <c r="O54" s="742">
        <v>0</v>
      </c>
      <c r="P54" s="742">
        <v>0</v>
      </c>
      <c r="Q54" s="700"/>
      <c r="R54" s="700"/>
      <c r="S54" s="700"/>
      <c r="T54" s="700"/>
      <c r="U54" s="700"/>
      <c r="V54" s="700"/>
      <c r="W54" s="700"/>
    </row>
    <row r="55" spans="1:23" ht="12.75" customHeight="1">
      <c r="C55" s="615" t="s">
        <v>1586</v>
      </c>
      <c r="D55" s="281"/>
      <c r="E55" s="709">
        <f>E48+E54</f>
        <v>0</v>
      </c>
      <c r="F55" s="709">
        <f>F48+F54</f>
        <v>0</v>
      </c>
      <c r="G55" s="709">
        <f>G48+G54</f>
        <v>0</v>
      </c>
      <c r="H55" s="709"/>
      <c r="I55" s="709">
        <f>I48+I54</f>
        <v>-1478847.9388766706</v>
      </c>
      <c r="J55" s="709">
        <f>J48+J54</f>
        <v>7312332.2712000329</v>
      </c>
      <c r="K55" s="709">
        <f>K48+K54</f>
        <v>8052511.0000000028</v>
      </c>
      <c r="L55" s="709">
        <f>L48+L54</f>
        <v>258798.22725226279</v>
      </c>
      <c r="M55" s="709"/>
      <c r="N55" s="709">
        <f>N48+N54</f>
        <v>0</v>
      </c>
      <c r="O55" s="709">
        <f>O48+O54</f>
        <v>0</v>
      </c>
      <c r="P55" s="709">
        <f>P48+P54</f>
        <v>0</v>
      </c>
      <c r="Q55" s="700"/>
      <c r="R55" s="700"/>
      <c r="S55" s="700"/>
      <c r="T55" s="700"/>
      <c r="U55" s="700"/>
      <c r="V55" s="700"/>
      <c r="W55" s="700"/>
    </row>
    <row r="56" spans="1:23" ht="12.75" customHeight="1">
      <c r="C56" s="579"/>
      <c r="D56" s="282"/>
      <c r="E56" s="698"/>
      <c r="F56" s="698"/>
      <c r="G56" s="698"/>
      <c r="H56" s="727"/>
      <c r="I56" s="700"/>
      <c r="J56" s="743"/>
      <c r="K56" s="695"/>
      <c r="L56" s="727"/>
      <c r="M56" s="727"/>
      <c r="N56" s="744"/>
      <c r="O56" s="744"/>
      <c r="P56" s="744"/>
      <c r="Q56" s="700"/>
      <c r="R56" s="700"/>
      <c r="S56" s="700"/>
      <c r="T56" s="700"/>
      <c r="U56" s="700"/>
      <c r="V56" s="700"/>
      <c r="W56" s="700"/>
    </row>
    <row r="57" spans="1:23" ht="12.75" customHeight="1">
      <c r="E57" s="745"/>
      <c r="F57" s="745"/>
      <c r="G57" s="745"/>
      <c r="H57" s="700"/>
      <c r="I57" s="700"/>
      <c r="J57" s="700"/>
      <c r="K57" s="700"/>
      <c r="L57" s="700"/>
      <c r="M57" s="700"/>
      <c r="N57" s="700"/>
      <c r="O57" s="700"/>
      <c r="P57" s="700"/>
      <c r="Q57" s="700"/>
      <c r="R57" s="700"/>
      <c r="S57" s="700"/>
      <c r="T57" s="700"/>
      <c r="U57" s="700"/>
      <c r="V57" s="700"/>
      <c r="W57" s="700"/>
    </row>
    <row r="58" spans="1:23" ht="12.75" customHeight="1">
      <c r="E58" s="745"/>
      <c r="F58" s="745"/>
      <c r="G58" s="745"/>
      <c r="H58" s="700"/>
      <c r="I58" s="746"/>
      <c r="J58" s="747">
        <v>112319295.26999998</v>
      </c>
      <c r="K58" s="748" t="s">
        <v>1589</v>
      </c>
      <c r="L58" s="700"/>
      <c r="M58" s="700"/>
      <c r="N58" s="700"/>
      <c r="O58" s="700"/>
      <c r="P58" s="700"/>
      <c r="Q58" s="700"/>
      <c r="R58" s="700"/>
      <c r="S58" s="700"/>
      <c r="T58" s="700"/>
      <c r="U58" s="700"/>
      <c r="V58" s="700"/>
      <c r="W58" s="700"/>
    </row>
    <row r="59" spans="1:23" ht="12.75" customHeight="1">
      <c r="E59" s="745"/>
      <c r="F59" s="745"/>
      <c r="G59" s="745"/>
      <c r="H59" s="700"/>
      <c r="I59" s="749"/>
      <c r="J59" s="750">
        <f>ROUND(J58*J64/$J$65,0)</f>
        <v>8052511</v>
      </c>
      <c r="K59" s="751" t="s">
        <v>1587</v>
      </c>
      <c r="L59" s="700"/>
      <c r="M59" s="700"/>
      <c r="N59" s="700"/>
      <c r="O59" s="700"/>
      <c r="P59" s="700"/>
      <c r="Q59" s="700"/>
      <c r="R59" s="700"/>
      <c r="S59" s="700"/>
      <c r="T59" s="700"/>
      <c r="U59" s="700"/>
      <c r="V59" s="700"/>
      <c r="W59" s="700"/>
    </row>
    <row r="60" spans="1:23" ht="12.75" customHeight="1">
      <c r="E60" s="688"/>
      <c r="F60" s="688"/>
      <c r="G60" s="688"/>
      <c r="H60" s="686"/>
      <c r="I60" s="689"/>
      <c r="J60" s="690">
        <f>J58-J59</f>
        <v>104266784.26999998</v>
      </c>
      <c r="K60" s="691" t="s">
        <v>1588</v>
      </c>
      <c r="L60" s="686"/>
      <c r="M60" s="686"/>
      <c r="N60" s="686"/>
      <c r="O60" s="686"/>
      <c r="P60" s="686"/>
      <c r="Q60" s="686"/>
      <c r="R60" s="686"/>
      <c r="S60" s="686"/>
      <c r="T60" s="686"/>
      <c r="U60" s="686"/>
      <c r="V60" s="686"/>
      <c r="W60" s="686"/>
    </row>
    <row r="63" spans="1:23" ht="12.75" customHeight="1">
      <c r="J63" s="613">
        <v>94682688.503589243</v>
      </c>
    </row>
    <row r="64" spans="1:23" ht="12.75" customHeight="1">
      <c r="J64" s="613">
        <v>7312332.2712000329</v>
      </c>
    </row>
    <row r="65" spans="10:10" ht="12.75" customHeight="1">
      <c r="J65" s="616">
        <f>SUM(J63:J64)</f>
        <v>101995020.77478927</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22" zoomScale="81" zoomScaleNormal="81" zoomScaleSheetLayoutView="90" zoomScalePageLayoutView="90" workbookViewId="0">
      <selection activeCell="D52" sqref="D52:N52"/>
    </sheetView>
  </sheetViews>
  <sheetFormatPr defaultColWidth="11.42578125" defaultRowHeight="12.75"/>
  <cols>
    <col min="1" max="1" width="1.7109375" style="419" customWidth="1"/>
    <col min="2" max="2" width="6.140625" style="399" customWidth="1"/>
    <col min="3" max="3" width="4" style="399" customWidth="1"/>
    <col min="4" max="4" width="46.7109375" style="399" customWidth="1"/>
    <col min="5" max="5" width="14.140625" style="399" customWidth="1"/>
    <col min="6" max="6" width="20" style="399" bestFit="1" customWidth="1"/>
    <col min="7" max="7" width="18.42578125" style="399" customWidth="1"/>
    <col min="8" max="8" width="10.85546875" style="399" customWidth="1"/>
    <col min="9" max="9" width="16" style="399" customWidth="1"/>
    <col min="10" max="10" width="13.7109375" style="399" customWidth="1"/>
    <col min="11" max="11" width="10.85546875" style="399" customWidth="1"/>
    <col min="12" max="12" width="14" style="399" customWidth="1"/>
    <col min="13" max="13" width="11.85546875" style="399" customWidth="1"/>
    <col min="14" max="14" width="14.42578125" style="399" customWidth="1"/>
    <col min="15" max="15" width="13.42578125" style="399" customWidth="1"/>
    <col min="16" max="16" width="13.7109375" style="399" customWidth="1"/>
    <col min="17" max="16384" width="11.42578125" style="399"/>
  </cols>
  <sheetData>
    <row r="1" spans="1:15" ht="15">
      <c r="A1" s="137"/>
    </row>
    <row r="2" spans="1:15" ht="15">
      <c r="A2" s="2501" t="str">
        <f>+'PSO TCOS'!F4</f>
        <v xml:space="preserve">AEP West SPP Member Operating Companies </v>
      </c>
      <c r="B2" s="2501"/>
      <c r="C2" s="2501"/>
      <c r="D2" s="2501"/>
      <c r="E2" s="2501"/>
      <c r="F2" s="2501"/>
      <c r="G2" s="2501"/>
      <c r="H2" s="2501"/>
      <c r="I2" s="2501"/>
      <c r="J2" s="2501"/>
    </row>
    <row r="3" spans="1:15" ht="15">
      <c r="A3" s="2505" t="str">
        <f>+'PSO WS A-1 - Plant'!A3</f>
        <v xml:space="preserve">Actual / Projected 2018 Rate Year Cost of Service Formula Rate </v>
      </c>
      <c r="B3" s="2505"/>
      <c r="C3" s="2505"/>
      <c r="D3" s="2505"/>
      <c r="E3" s="2505"/>
      <c r="F3" s="2505"/>
      <c r="G3" s="2505"/>
      <c r="H3" s="2505"/>
      <c r="I3" s="2505"/>
      <c r="J3" s="2505"/>
    </row>
    <row r="4" spans="1:15" ht="15.75">
      <c r="A4" s="2506" t="s">
        <v>1348</v>
      </c>
      <c r="B4" s="2505"/>
      <c r="C4" s="2505"/>
      <c r="D4" s="2505"/>
      <c r="E4" s="2505"/>
      <c r="F4" s="2505"/>
      <c r="G4" s="2505"/>
      <c r="H4" s="2505"/>
      <c r="I4" s="2505"/>
      <c r="J4" s="2505"/>
    </row>
    <row r="5" spans="1:15" ht="15.75">
      <c r="A5" s="2503" t="str">
        <f>+'PSO TCOS'!F8</f>
        <v>PUBLIC SERVICE COMPANY OF OKLAHOMA</v>
      </c>
      <c r="B5" s="2503"/>
      <c r="C5" s="2503"/>
      <c r="D5" s="2503"/>
      <c r="E5" s="2503"/>
      <c r="F5" s="2503"/>
      <c r="G5" s="2503"/>
      <c r="H5" s="2503"/>
      <c r="I5" s="2503"/>
      <c r="J5" s="2503"/>
    </row>
    <row r="6" spans="1:15" ht="18">
      <c r="A6" s="388"/>
      <c r="B6" s="388"/>
      <c r="C6" s="388"/>
      <c r="D6" s="388"/>
      <c r="E6" s="388"/>
      <c r="F6" s="388"/>
      <c r="H6" s="388"/>
      <c r="I6" s="388"/>
      <c r="J6" s="388"/>
      <c r="K6" s="400"/>
      <c r="L6" s="400"/>
      <c r="M6" s="400"/>
      <c r="N6" s="400"/>
      <c r="O6" s="400"/>
    </row>
    <row r="7" spans="1:15" ht="18">
      <c r="A7" s="388"/>
      <c r="B7" s="392"/>
      <c r="C7" s="392"/>
      <c r="D7" s="2543" t="s">
        <v>303</v>
      </c>
      <c r="E7" s="2543"/>
      <c r="F7" s="42" t="s">
        <v>304</v>
      </c>
      <c r="G7" s="42" t="s">
        <v>305</v>
      </c>
      <c r="H7" s="42" t="s">
        <v>306</v>
      </c>
      <c r="I7" s="42" t="s">
        <v>231</v>
      </c>
      <c r="J7" s="388"/>
      <c r="K7" s="400"/>
      <c r="L7" s="400"/>
      <c r="M7" s="400"/>
      <c r="N7" s="400"/>
      <c r="O7" s="400"/>
    </row>
    <row r="8" spans="1:15" ht="46.5" customHeight="1">
      <c r="A8" s="388"/>
      <c r="B8" s="51" t="s">
        <v>310</v>
      </c>
      <c r="C8" s="392"/>
      <c r="D8" s="2544" t="s">
        <v>308</v>
      </c>
      <c r="E8" s="2544"/>
      <c r="F8" s="389" t="s">
        <v>1165</v>
      </c>
      <c r="G8" s="389" t="s">
        <v>347</v>
      </c>
      <c r="H8" s="58" t="s">
        <v>1178</v>
      </c>
      <c r="I8" s="58" t="str">
        <f>+'PSO TCOS'!N2&amp;" Amortization / (Deferral)"</f>
        <v>2018 Amortization / (Deferral)</v>
      </c>
      <c r="J8" s="388"/>
      <c r="K8" s="400"/>
      <c r="L8" s="400"/>
      <c r="M8" s="400"/>
      <c r="N8" s="400"/>
      <c r="O8" s="400"/>
    </row>
    <row r="9" spans="1:15" ht="15">
      <c r="A9" s="392"/>
      <c r="B9" s="401"/>
      <c r="C9" s="385"/>
      <c r="D9" s="402"/>
      <c r="E9" s="403"/>
      <c r="F9" s="404"/>
      <c r="G9" s="404"/>
      <c r="H9" s="404"/>
      <c r="I9" s="404"/>
      <c r="J9" s="22"/>
    </row>
    <row r="10" spans="1:15" ht="15">
      <c r="A10" s="392"/>
      <c r="B10" s="401">
        <v>1</v>
      </c>
      <c r="C10" s="392"/>
      <c r="D10" s="405" t="s">
        <v>1180</v>
      </c>
      <c r="E10" s="403"/>
      <c r="F10" s="404"/>
      <c r="G10" s="404"/>
      <c r="H10" s="404"/>
      <c r="I10" s="404"/>
      <c r="J10" s="22"/>
    </row>
    <row r="11" spans="1:15" ht="25.5">
      <c r="A11" s="392"/>
      <c r="B11" s="406" t="str">
        <f>+B$10&amp;"a"</f>
        <v>1a</v>
      </c>
      <c r="C11" s="392"/>
      <c r="D11" s="407" t="s">
        <v>1572</v>
      </c>
      <c r="E11" s="408"/>
      <c r="F11" s="409"/>
      <c r="G11" s="611" t="s">
        <v>1584</v>
      </c>
      <c r="H11" s="410">
        <v>571</v>
      </c>
      <c r="I11" s="411">
        <v>757201.8</v>
      </c>
      <c r="J11" s="22"/>
    </row>
    <row r="12" spans="1:15" ht="15">
      <c r="A12" s="392"/>
      <c r="B12" s="406" t="str">
        <f>+B$10&amp;"b"</f>
        <v>1b</v>
      </c>
      <c r="C12" s="392"/>
      <c r="D12" s="407"/>
      <c r="E12" s="408"/>
      <c r="F12" s="409"/>
      <c r="G12" s="409"/>
      <c r="H12" s="412"/>
      <c r="I12" s="411"/>
      <c r="J12" s="22"/>
    </row>
    <row r="13" spans="1:15" ht="15">
      <c r="A13" s="392"/>
      <c r="B13" s="406" t="str">
        <f>+B$10&amp;"c"</f>
        <v>1c</v>
      </c>
      <c r="C13" s="392"/>
      <c r="D13" s="407"/>
      <c r="E13" s="408"/>
      <c r="F13" s="409"/>
      <c r="G13" s="409"/>
      <c r="H13" s="410"/>
      <c r="I13" s="411"/>
      <c r="J13" s="22"/>
    </row>
    <row r="14" spans="1:15" ht="15">
      <c r="A14" s="392"/>
      <c r="B14" s="406" t="str">
        <f>+B$10&amp;"d"</f>
        <v>1d</v>
      </c>
      <c r="C14" s="392"/>
      <c r="D14" s="407"/>
      <c r="E14" s="408"/>
      <c r="F14" s="409"/>
      <c r="G14" s="409"/>
      <c r="H14" s="410"/>
      <c r="I14" s="411"/>
      <c r="J14" s="22"/>
    </row>
    <row r="15" spans="1:15" ht="15">
      <c r="A15" s="392"/>
      <c r="B15" s="406" t="str">
        <f>+B$10&amp;"e"</f>
        <v>1e</v>
      </c>
      <c r="C15" s="392"/>
      <c r="D15" s="407"/>
      <c r="E15" s="408"/>
      <c r="F15" s="409"/>
      <c r="G15" s="409"/>
      <c r="H15" s="410"/>
      <c r="I15" s="411"/>
      <c r="J15" s="22"/>
    </row>
    <row r="16" spans="1:15" ht="15">
      <c r="A16" s="392"/>
      <c r="B16" s="401">
        <f>+B10+1</f>
        <v>2</v>
      </c>
      <c r="C16" s="392"/>
      <c r="D16" s="413" t="s">
        <v>1166</v>
      </c>
      <c r="E16" s="414"/>
      <c r="F16" s="413"/>
      <c r="G16" s="413"/>
      <c r="H16" s="415"/>
      <c r="I16" s="416">
        <f>+SUM(I11:I15)</f>
        <v>757201.8</v>
      </c>
      <c r="J16" s="22"/>
    </row>
    <row r="17" spans="1:12" ht="15">
      <c r="A17" s="392"/>
      <c r="B17" s="401"/>
      <c r="C17" s="392"/>
      <c r="D17" s="402"/>
      <c r="E17" s="403"/>
      <c r="F17" s="402"/>
      <c r="G17" s="402"/>
      <c r="H17" s="417"/>
      <c r="I17" s="418"/>
      <c r="J17" s="22"/>
    </row>
    <row r="18" spans="1:12" ht="15">
      <c r="A18" s="392"/>
      <c r="B18" s="401">
        <f>+B16+1</f>
        <v>3</v>
      </c>
      <c r="C18" s="392"/>
      <c r="D18" s="405" t="s">
        <v>1181</v>
      </c>
      <c r="E18" s="403"/>
      <c r="F18" s="402"/>
      <c r="G18" s="402"/>
      <c r="H18" s="417"/>
      <c r="I18" s="418"/>
      <c r="J18" s="22"/>
    </row>
    <row r="19" spans="1:12" ht="25.5">
      <c r="A19" s="392"/>
      <c r="B19" s="406" t="str">
        <f>+B$18&amp;"a"</f>
        <v>3a</v>
      </c>
      <c r="C19" s="392"/>
      <c r="D19" s="407" t="s">
        <v>1572</v>
      </c>
      <c r="E19" s="408"/>
      <c r="F19" s="409" t="s">
        <v>1784</v>
      </c>
      <c r="G19" s="611" t="s">
        <v>1584</v>
      </c>
      <c r="H19" s="410">
        <v>571</v>
      </c>
      <c r="I19" s="411">
        <f>3568626/48*10</f>
        <v>743463.75</v>
      </c>
      <c r="J19" s="22"/>
      <c r="L19" s="397"/>
    </row>
    <row r="20" spans="1:12" ht="15.6" customHeight="1">
      <c r="A20" s="392"/>
      <c r="B20" s="406" t="str">
        <f>+B$18&amp;"b"</f>
        <v>3b</v>
      </c>
      <c r="C20" s="392"/>
      <c r="D20" s="407"/>
      <c r="E20" s="408"/>
      <c r="F20" s="409"/>
      <c r="G20" s="409"/>
      <c r="H20" s="410"/>
      <c r="I20" s="411"/>
      <c r="J20" s="22"/>
    </row>
    <row r="21" spans="1:12" ht="15">
      <c r="A21" s="392"/>
      <c r="B21" s="406" t="str">
        <f>+B$18&amp;"c"</f>
        <v>3c</v>
      </c>
      <c r="C21" s="392"/>
      <c r="D21" s="407"/>
      <c r="E21" s="408"/>
      <c r="F21" s="409"/>
      <c r="G21" s="409"/>
      <c r="H21" s="410"/>
      <c r="I21" s="411"/>
      <c r="J21" s="22"/>
    </row>
    <row r="22" spans="1:12" ht="15">
      <c r="A22" s="392"/>
      <c r="B22" s="406" t="str">
        <f>+B$18&amp;"d"</f>
        <v>3d</v>
      </c>
      <c r="C22" s="392"/>
      <c r="D22" s="407"/>
      <c r="E22" s="408"/>
      <c r="F22" s="407"/>
      <c r="G22" s="407"/>
      <c r="H22" s="410"/>
      <c r="I22" s="411"/>
      <c r="J22" s="22"/>
    </row>
    <row r="23" spans="1:12" ht="15">
      <c r="A23" s="392"/>
      <c r="B23" s="401">
        <f>+B18+1</f>
        <v>4</v>
      </c>
      <c r="C23" s="392"/>
      <c r="D23" s="413" t="s">
        <v>1167</v>
      </c>
      <c r="E23" s="414"/>
      <c r="F23" s="413"/>
      <c r="G23" s="413"/>
      <c r="H23" s="415"/>
      <c r="I23" s="416">
        <f>+SUM(I19:I22)</f>
        <v>743463.75</v>
      </c>
      <c r="J23" s="22"/>
    </row>
    <row r="24" spans="1:12" ht="30" customHeight="1">
      <c r="A24" s="392"/>
      <c r="B24" s="401"/>
      <c r="C24" s="392"/>
      <c r="D24" s="402"/>
      <c r="E24" s="403"/>
      <c r="F24" s="402"/>
      <c r="G24" s="402"/>
      <c r="H24" s="417"/>
      <c r="I24" s="418"/>
      <c r="J24" s="22"/>
      <c r="L24" s="528"/>
    </row>
    <row r="25" spans="1:12" ht="15">
      <c r="A25" s="392"/>
      <c r="B25" s="401">
        <f>+B23+1</f>
        <v>5</v>
      </c>
      <c r="C25" s="392"/>
      <c r="D25" s="405" t="s">
        <v>1183</v>
      </c>
      <c r="E25" s="403"/>
      <c r="F25" s="404"/>
      <c r="G25" s="404"/>
      <c r="H25" s="404"/>
      <c r="I25" s="404"/>
      <c r="J25" s="22"/>
      <c r="L25" s="528"/>
    </row>
    <row r="26" spans="1:12" ht="15">
      <c r="A26" s="392"/>
      <c r="B26" s="406" t="str">
        <f>+B$25&amp;"a"</f>
        <v>5a</v>
      </c>
      <c r="C26" s="392"/>
      <c r="D26" s="407" t="s">
        <v>1571</v>
      </c>
      <c r="E26" s="408"/>
      <c r="F26" s="409"/>
      <c r="G26" s="409"/>
      <c r="H26" s="410">
        <v>926</v>
      </c>
      <c r="I26" s="411">
        <v>489915.12000000005</v>
      </c>
      <c r="J26" s="22"/>
      <c r="L26" s="397"/>
    </row>
    <row r="27" spans="1:12" ht="15">
      <c r="A27" s="392"/>
      <c r="B27" s="406" t="str">
        <f>+B$25&amp;"b"</f>
        <v>5b</v>
      </c>
      <c r="C27" s="392"/>
      <c r="D27" s="407"/>
      <c r="E27" s="408"/>
      <c r="F27" s="409"/>
      <c r="G27" s="409"/>
      <c r="H27" s="410"/>
      <c r="I27" s="411"/>
      <c r="J27" s="22"/>
    </row>
    <row r="28" spans="1:12" ht="15">
      <c r="A28" s="392"/>
      <c r="B28" s="401">
        <f>+B25+1</f>
        <v>6</v>
      </c>
      <c r="C28" s="392"/>
      <c r="D28" s="413" t="s">
        <v>1166</v>
      </c>
      <c r="E28" s="414"/>
      <c r="F28" s="413"/>
      <c r="G28" s="413"/>
      <c r="H28" s="415"/>
      <c r="I28" s="416">
        <f>+SUM(I26:I27)</f>
        <v>489915.12000000005</v>
      </c>
      <c r="J28" s="22"/>
    </row>
    <row r="29" spans="1:12" ht="15">
      <c r="A29" s="392"/>
      <c r="B29" s="401"/>
      <c r="C29" s="392"/>
      <c r="D29" s="402"/>
      <c r="E29" s="403"/>
      <c r="F29" s="402"/>
      <c r="G29" s="402"/>
      <c r="H29" s="417"/>
      <c r="I29" s="418"/>
      <c r="J29" s="22"/>
    </row>
    <row r="30" spans="1:12" ht="15">
      <c r="A30" s="392"/>
      <c r="B30" s="401">
        <f>+B28+1</f>
        <v>7</v>
      </c>
      <c r="C30" s="392"/>
      <c r="D30" s="405" t="s">
        <v>1184</v>
      </c>
      <c r="E30" s="403"/>
      <c r="F30" s="402"/>
      <c r="G30" s="402"/>
      <c r="H30" s="417"/>
      <c r="I30" s="418"/>
      <c r="J30" s="22"/>
    </row>
    <row r="31" spans="1:12" ht="15">
      <c r="A31" s="392"/>
      <c r="B31" s="406" t="str">
        <f>+B$30&amp;"a"</f>
        <v>7a</v>
      </c>
      <c r="C31" s="392"/>
      <c r="D31" s="407" t="s">
        <v>1571</v>
      </c>
      <c r="E31" s="408"/>
      <c r="F31" s="409" t="s">
        <v>1784</v>
      </c>
      <c r="G31" s="409"/>
      <c r="H31" s="410">
        <v>926</v>
      </c>
      <c r="I31" s="411">
        <f>+I26</f>
        <v>489915.12000000005</v>
      </c>
      <c r="J31" s="22"/>
    </row>
    <row r="32" spans="1:12" ht="15">
      <c r="A32" s="392"/>
      <c r="B32" s="406" t="str">
        <f>+B$30&amp;"b"</f>
        <v>7b</v>
      </c>
      <c r="C32" s="392"/>
      <c r="J32" s="22"/>
    </row>
    <row r="33" spans="1:14" ht="15">
      <c r="A33" s="392"/>
      <c r="B33" s="401">
        <f>+B30+1</f>
        <v>8</v>
      </c>
      <c r="C33" s="392"/>
      <c r="D33" s="413" t="s">
        <v>1167</v>
      </c>
      <c r="E33" s="414"/>
      <c r="F33" s="413"/>
      <c r="G33" s="413"/>
      <c r="H33" s="415"/>
      <c r="I33" s="416">
        <f>+SUM(I31:I31)</f>
        <v>489915.12000000005</v>
      </c>
      <c r="J33" s="22"/>
    </row>
    <row r="34" spans="1:14" ht="15">
      <c r="A34" s="392"/>
      <c r="B34" s="392"/>
      <c r="C34" s="392"/>
      <c r="D34" s="402"/>
      <c r="E34" s="403"/>
      <c r="F34" s="402"/>
      <c r="G34" s="402"/>
      <c r="H34" s="417"/>
      <c r="I34" s="418"/>
      <c r="J34" s="22"/>
    </row>
    <row r="36" spans="1:14" ht="15">
      <c r="D36" s="420" t="s">
        <v>1188</v>
      </c>
      <c r="K36" s="41"/>
      <c r="L36" s="41"/>
      <c r="M36" s="41"/>
      <c r="N36" s="41"/>
    </row>
    <row r="37" spans="1:14" ht="12.75" hidden="1" customHeight="1">
      <c r="K37" s="50"/>
      <c r="L37" s="50"/>
      <c r="M37" s="50"/>
    </row>
    <row r="38" spans="1:14" ht="12.75" customHeight="1">
      <c r="D38" s="2543" t="s">
        <v>303</v>
      </c>
      <c r="E38" s="2543"/>
      <c r="F38" s="42" t="s">
        <v>304</v>
      </c>
      <c r="G38" s="42" t="s">
        <v>305</v>
      </c>
      <c r="H38" s="42" t="s">
        <v>306</v>
      </c>
      <c r="I38" s="42" t="s">
        <v>231</v>
      </c>
      <c r="J38" s="42" t="s">
        <v>232</v>
      </c>
      <c r="K38" s="42" t="s">
        <v>233</v>
      </c>
      <c r="L38" s="42" t="s">
        <v>238</v>
      </c>
      <c r="M38" s="42" t="s">
        <v>179</v>
      </c>
      <c r="N38" s="42" t="s">
        <v>73</v>
      </c>
    </row>
    <row r="39" spans="1:14" ht="43.5" customHeight="1">
      <c r="B39" s="406">
        <f>+B33+1</f>
        <v>9</v>
      </c>
      <c r="D39" s="421" t="s">
        <v>308</v>
      </c>
      <c r="E39" s="422" t="s">
        <v>1172</v>
      </c>
      <c r="F39" s="422" t="s">
        <v>1177</v>
      </c>
      <c r="G39" s="422" t="s">
        <v>1173</v>
      </c>
      <c r="H39" s="422" t="s">
        <v>1174</v>
      </c>
      <c r="I39" s="423" t="str">
        <f>"Balance @ 12/31/"&amp;'PSO TCOS'!$N$2&amp;""</f>
        <v>Balance @ 12/31/2018</v>
      </c>
      <c r="J39" s="423" t="str">
        <f>"Balance @ 12/31/"&amp;'PSO TCOS'!$N$2-1&amp;""</f>
        <v>Balance @ 12/31/2017</v>
      </c>
      <c r="K39" s="424" t="s">
        <v>354</v>
      </c>
      <c r="L39" s="424" t="s">
        <v>1190</v>
      </c>
      <c r="M39" s="424" t="s">
        <v>1179</v>
      </c>
      <c r="N39" s="424" t="s">
        <v>1175</v>
      </c>
    </row>
    <row r="40" spans="1:14">
      <c r="B40" s="406" t="str">
        <f>+B$33+1&amp;"a"</f>
        <v>9a</v>
      </c>
      <c r="D40" s="407"/>
      <c r="E40" s="409"/>
      <c r="F40" s="409"/>
      <c r="G40" s="425"/>
      <c r="H40" s="426"/>
      <c r="I40" s="398"/>
      <c r="J40" s="427"/>
      <c r="K40" s="397">
        <f>+(I40+J40)/2</f>
        <v>0</v>
      </c>
      <c r="L40" s="428"/>
      <c r="M40" s="429"/>
      <c r="N40" s="430">
        <f>+K40*M40</f>
        <v>0</v>
      </c>
    </row>
    <row r="41" spans="1:14">
      <c r="B41" s="406" t="str">
        <f>+B$33+1&amp;"b"</f>
        <v>9b</v>
      </c>
      <c r="D41" s="407"/>
      <c r="E41" s="409"/>
      <c r="F41" s="409"/>
      <c r="G41" s="425"/>
      <c r="H41" s="426"/>
      <c r="I41" s="398"/>
      <c r="J41" s="398"/>
      <c r="K41" s="397">
        <f t="shared" ref="K41:K44" si="0">+(I41+J41)/2</f>
        <v>0</v>
      </c>
      <c r="L41" s="428"/>
      <c r="M41" s="429"/>
      <c r="N41" s="430">
        <f t="shared" ref="N41:N44" si="1">+K41*M41</f>
        <v>0</v>
      </c>
    </row>
    <row r="42" spans="1:14">
      <c r="B42" s="406" t="str">
        <f>+B$33+1&amp;"c"</f>
        <v>9c</v>
      </c>
      <c r="D42" s="407"/>
      <c r="E42" s="409"/>
      <c r="F42" s="409"/>
      <c r="G42" s="425"/>
      <c r="H42" s="426"/>
      <c r="I42" s="398"/>
      <c r="J42" s="398"/>
      <c r="K42" s="397">
        <f t="shared" si="0"/>
        <v>0</v>
      </c>
      <c r="L42" s="428"/>
      <c r="M42" s="431"/>
      <c r="N42" s="430">
        <f t="shared" si="1"/>
        <v>0</v>
      </c>
    </row>
    <row r="43" spans="1:14">
      <c r="B43" s="406" t="str">
        <f>+B$33+1&amp;"d"</f>
        <v>9d</v>
      </c>
      <c r="D43" s="407"/>
      <c r="E43" s="409"/>
      <c r="F43" s="409"/>
      <c r="G43" s="425"/>
      <c r="H43" s="426"/>
      <c r="I43" s="398"/>
      <c r="J43" s="427"/>
      <c r="K43" s="397">
        <f t="shared" si="0"/>
        <v>0</v>
      </c>
      <c r="L43" s="411"/>
      <c r="M43" s="429"/>
      <c r="N43" s="430">
        <f t="shared" si="1"/>
        <v>0</v>
      </c>
    </row>
    <row r="44" spans="1:14">
      <c r="B44" s="406" t="str">
        <f>+B$33+1&amp;"e"</f>
        <v>9e</v>
      </c>
      <c r="D44" s="407"/>
      <c r="E44" s="409"/>
      <c r="F44" s="409"/>
      <c r="G44" s="425"/>
      <c r="H44" s="426"/>
      <c r="I44" s="398"/>
      <c r="J44" s="427"/>
      <c r="K44" s="397">
        <f t="shared" si="0"/>
        <v>0</v>
      </c>
      <c r="L44" s="411"/>
      <c r="M44" s="429"/>
      <c r="N44" s="430">
        <f t="shared" si="1"/>
        <v>0</v>
      </c>
    </row>
    <row r="45" spans="1:14">
      <c r="B45" s="406">
        <f>+B39+1</f>
        <v>10</v>
      </c>
      <c r="D45" s="432" t="s">
        <v>1176</v>
      </c>
      <c r="E45" s="432"/>
      <c r="F45" s="432"/>
      <c r="G45" s="432"/>
      <c r="H45" s="432"/>
      <c r="I45" s="433">
        <f>+SUM(I40:I44)</f>
        <v>0</v>
      </c>
      <c r="J45" s="433">
        <f t="shared" ref="J45:K45" si="2">+SUM(J40:J44)</f>
        <v>0</v>
      </c>
      <c r="K45" s="433">
        <f t="shared" si="2"/>
        <v>0</v>
      </c>
      <c r="L45" s="432"/>
      <c r="M45" s="432"/>
      <c r="N45" s="433">
        <f>+SUM(N40:N44)</f>
        <v>0</v>
      </c>
    </row>
    <row r="46" spans="1:14">
      <c r="B46" s="419"/>
    </row>
    <row r="47" spans="1:14" ht="18">
      <c r="A47" s="234"/>
      <c r="B47" s="434" t="s">
        <v>316</v>
      </c>
      <c r="C47" s="434"/>
      <c r="D47" s="434"/>
      <c r="E47" s="434"/>
      <c r="F47" s="434"/>
      <c r="G47" s="434"/>
      <c r="H47" s="434"/>
      <c r="I47" s="434"/>
      <c r="J47" s="234"/>
    </row>
    <row r="48" spans="1:14" ht="23.25" customHeight="1">
      <c r="A48" s="234"/>
      <c r="B48" s="435">
        <v>1</v>
      </c>
      <c r="C48" s="436"/>
      <c r="D48" s="2542" t="s">
        <v>1185</v>
      </c>
      <c r="E48" s="2542"/>
      <c r="F48" s="2542"/>
      <c r="G48" s="2542"/>
      <c r="H48" s="2542"/>
      <c r="I48" s="2542"/>
      <c r="J48" s="2542"/>
      <c r="K48" s="2542"/>
      <c r="L48" s="2542"/>
      <c r="M48" s="2542"/>
      <c r="N48" s="2542"/>
    </row>
    <row r="49" spans="1:15" ht="18">
      <c r="A49" s="234"/>
      <c r="B49" s="435">
        <v>2</v>
      </c>
      <c r="C49" s="437"/>
      <c r="D49" s="2542" t="s">
        <v>1330</v>
      </c>
      <c r="E49" s="2542"/>
      <c r="F49" s="2542"/>
      <c r="G49" s="2542"/>
      <c r="H49" s="2542"/>
      <c r="I49" s="2542"/>
      <c r="J49" s="2542"/>
      <c r="K49" s="2542"/>
      <c r="L49" s="2542"/>
      <c r="M49" s="2542"/>
      <c r="N49" s="2542"/>
      <c r="O49" s="381"/>
    </row>
    <row r="50" spans="1:15" ht="33" customHeight="1">
      <c r="A50" s="234"/>
      <c r="B50" s="435">
        <v>3</v>
      </c>
      <c r="C50" s="390"/>
      <c r="D50" s="2542" t="s">
        <v>1182</v>
      </c>
      <c r="E50" s="2542"/>
      <c r="F50" s="2542"/>
      <c r="G50" s="2542"/>
      <c r="H50" s="2542"/>
      <c r="I50" s="2542"/>
      <c r="J50" s="2542"/>
      <c r="K50" s="2542"/>
      <c r="L50" s="2542"/>
      <c r="M50" s="2542"/>
      <c r="N50" s="2542"/>
      <c r="O50" s="381"/>
    </row>
    <row r="51" spans="1:15" ht="18">
      <c r="A51" s="388"/>
      <c r="B51" s="435">
        <v>4</v>
      </c>
      <c r="C51" s="388"/>
      <c r="D51" s="2542" t="s">
        <v>1331</v>
      </c>
      <c r="E51" s="2542"/>
      <c r="F51" s="2542"/>
      <c r="G51" s="2542"/>
      <c r="H51" s="2542"/>
      <c r="I51" s="2542"/>
      <c r="J51" s="2542"/>
      <c r="K51" s="2542"/>
      <c r="L51" s="2542"/>
      <c r="M51" s="2542"/>
      <c r="N51" s="2542"/>
      <c r="O51" s="400"/>
    </row>
    <row r="52" spans="1:15" ht="30.75" customHeight="1">
      <c r="B52" s="435">
        <v>5</v>
      </c>
      <c r="C52" s="388"/>
      <c r="D52" s="2542" t="s">
        <v>1192</v>
      </c>
      <c r="E52" s="2542"/>
      <c r="F52" s="2542"/>
      <c r="G52" s="2542"/>
      <c r="H52" s="2542"/>
      <c r="I52" s="2542"/>
      <c r="J52" s="2542"/>
      <c r="K52" s="2542"/>
      <c r="L52" s="2542"/>
      <c r="M52" s="2542"/>
      <c r="N52" s="2542"/>
    </row>
    <row r="53" spans="1:15" ht="18">
      <c r="B53" s="435">
        <v>6</v>
      </c>
      <c r="C53" s="388"/>
      <c r="D53" s="2542" t="s">
        <v>1191</v>
      </c>
      <c r="E53" s="2542"/>
      <c r="F53" s="2542"/>
      <c r="G53" s="2542"/>
      <c r="H53" s="2542"/>
      <c r="I53" s="2542"/>
      <c r="J53" s="2542"/>
      <c r="K53" s="2542"/>
      <c r="L53" s="2542"/>
      <c r="M53" s="2542"/>
      <c r="N53" s="2542"/>
    </row>
    <row r="54" spans="1:15">
      <c r="B54" s="419">
        <v>7</v>
      </c>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37" zoomScaleNormal="100" workbookViewId="0">
      <selection activeCell="C35" sqref="C35"/>
    </sheetView>
  </sheetViews>
  <sheetFormatPr defaultColWidth="9.140625" defaultRowHeight="12.75"/>
  <cols>
    <col min="1" max="1" width="11.85546875" style="439" customWidth="1"/>
    <col min="2" max="2" width="53.28515625" style="439" customWidth="1"/>
    <col min="3" max="3" width="36.5703125" style="439" customWidth="1"/>
    <col min="4" max="4" width="26.42578125" style="439" customWidth="1"/>
    <col min="5" max="16384" width="9.140625" style="439"/>
  </cols>
  <sheetData>
    <row r="1" spans="1:10" ht="15">
      <c r="A1" s="438"/>
    </row>
    <row r="2" spans="1:10" ht="15">
      <c r="A2" s="2547" t="s">
        <v>878</v>
      </c>
      <c r="B2" s="2547"/>
      <c r="C2" s="2547"/>
      <c r="D2" s="440"/>
      <c r="E2" s="440"/>
      <c r="F2" s="440"/>
      <c r="G2" s="440"/>
      <c r="H2" s="440"/>
      <c r="I2" s="440"/>
      <c r="J2" s="440"/>
    </row>
    <row r="3" spans="1:10" ht="15">
      <c r="A3" s="2548" t="s">
        <v>1283</v>
      </c>
      <c r="B3" s="2548"/>
      <c r="C3" s="2548"/>
      <c r="D3" s="441"/>
      <c r="E3" s="441"/>
      <c r="F3" s="441"/>
      <c r="G3" s="441"/>
      <c r="H3" s="441"/>
      <c r="I3" s="441"/>
      <c r="J3" s="441"/>
    </row>
    <row r="4" spans="1:10" ht="15.75">
      <c r="A4" s="2549" t="s">
        <v>1349</v>
      </c>
      <c r="B4" s="2549"/>
      <c r="C4" s="2549"/>
      <c r="D4" s="441"/>
      <c r="E4" s="441"/>
      <c r="F4" s="441"/>
      <c r="G4" s="441"/>
      <c r="H4" s="441"/>
      <c r="I4" s="441"/>
      <c r="J4" s="441"/>
    </row>
    <row r="5" spans="1:10" ht="15.75">
      <c r="A5" s="2550" t="s">
        <v>1018</v>
      </c>
      <c r="B5" s="2550"/>
      <c r="C5" s="2550"/>
      <c r="D5" s="442"/>
      <c r="E5" s="442"/>
      <c r="F5" s="442"/>
      <c r="G5" s="442"/>
      <c r="H5" s="442"/>
      <c r="I5" s="442"/>
      <c r="J5" s="442"/>
    </row>
    <row r="8" spans="1:10" ht="15.75">
      <c r="A8" s="2551" t="s">
        <v>1196</v>
      </c>
      <c r="B8" s="2551"/>
      <c r="C8" s="2551"/>
    </row>
    <row r="9" spans="1:10" ht="15.75">
      <c r="A9" s="2546" t="s">
        <v>1197</v>
      </c>
      <c r="B9" s="2546"/>
      <c r="C9" s="2546"/>
    </row>
    <row r="10" spans="1:10" ht="15.75">
      <c r="A10" s="443"/>
      <c r="B10" s="443"/>
      <c r="C10" s="443"/>
    </row>
    <row r="11" spans="1:10" ht="15.75">
      <c r="A11" s="443"/>
      <c r="B11" s="443"/>
      <c r="C11" s="443"/>
    </row>
    <row r="12" spans="1:10" ht="15.75">
      <c r="A12" s="444" t="s">
        <v>1198</v>
      </c>
      <c r="B12" s="438"/>
      <c r="C12" s="445"/>
    </row>
    <row r="13" spans="1:10" ht="15">
      <c r="A13" s="446"/>
      <c r="B13" s="438"/>
      <c r="C13" s="438"/>
    </row>
    <row r="14" spans="1:10" ht="15">
      <c r="A14" s="447" t="s">
        <v>1199</v>
      </c>
      <c r="B14" s="448" t="s">
        <v>1200</v>
      </c>
      <c r="C14" s="447" t="s">
        <v>1201</v>
      </c>
    </row>
    <row r="15" spans="1:10" ht="15">
      <c r="A15" s="438"/>
      <c r="B15" s="438"/>
      <c r="C15" s="438"/>
    </row>
    <row r="16" spans="1:10" ht="15">
      <c r="A16" s="449">
        <v>350.1</v>
      </c>
      <c r="B16" s="438" t="s">
        <v>1202</v>
      </c>
      <c r="C16" s="450">
        <v>1.0699999999999999E-2</v>
      </c>
    </row>
    <row r="17" spans="1:3" ht="15">
      <c r="A17" s="451">
        <v>352</v>
      </c>
      <c r="B17" s="438" t="s">
        <v>1203</v>
      </c>
      <c r="C17" s="450">
        <v>2.0500000000000001E-2</v>
      </c>
    </row>
    <row r="18" spans="1:3" ht="15">
      <c r="A18" s="451">
        <v>353</v>
      </c>
      <c r="B18" s="438" t="s">
        <v>1204</v>
      </c>
      <c r="C18" s="450">
        <v>1.72E-2</v>
      </c>
    </row>
    <row r="19" spans="1:3" ht="15">
      <c r="A19" s="451">
        <v>354</v>
      </c>
      <c r="B19" s="438" t="s">
        <v>1205</v>
      </c>
      <c r="C19" s="450">
        <v>1.7299999999999999E-2</v>
      </c>
    </row>
    <row r="20" spans="1:3" ht="15">
      <c r="A20" s="451">
        <v>355</v>
      </c>
      <c r="B20" s="438" t="s">
        <v>1206</v>
      </c>
      <c r="C20" s="450">
        <v>3.9199999999999999E-2</v>
      </c>
    </row>
    <row r="21" spans="1:3" ht="15">
      <c r="A21" s="451">
        <v>356</v>
      </c>
      <c r="B21" s="438" t="s">
        <v>1207</v>
      </c>
      <c r="C21" s="450">
        <v>2.18E-2</v>
      </c>
    </row>
    <row r="22" spans="1:3" ht="15">
      <c r="A22" s="451">
        <v>358</v>
      </c>
      <c r="B22" s="438" t="s">
        <v>1208</v>
      </c>
      <c r="C22" s="450">
        <v>2.0899999999999998E-2</v>
      </c>
    </row>
    <row r="23" spans="1:3" ht="15">
      <c r="A23" s="438"/>
      <c r="B23" s="438"/>
      <c r="C23" s="452"/>
    </row>
    <row r="24" spans="1:3" ht="15">
      <c r="A24" s="438"/>
      <c r="B24" s="438"/>
      <c r="C24" s="438"/>
    </row>
    <row r="25" spans="1:3" ht="15.75">
      <c r="A25" s="444" t="s">
        <v>1209</v>
      </c>
      <c r="B25" s="438"/>
      <c r="C25" s="438"/>
    </row>
    <row r="26" spans="1:3" ht="15.75">
      <c r="A26" s="444"/>
      <c r="B26" s="438"/>
      <c r="C26" s="438"/>
    </row>
    <row r="27" spans="1:3" ht="15">
      <c r="A27" s="447" t="s">
        <v>1199</v>
      </c>
      <c r="B27" s="448" t="s">
        <v>1200</v>
      </c>
      <c r="C27" s="447" t="s">
        <v>1201</v>
      </c>
    </row>
    <row r="28" spans="1:3" ht="15">
      <c r="A28" s="438"/>
      <c r="B28" s="438"/>
      <c r="C28" s="438"/>
    </row>
    <row r="29" spans="1:3" ht="15">
      <c r="A29" s="451">
        <v>390</v>
      </c>
      <c r="B29" s="438" t="s">
        <v>1203</v>
      </c>
      <c r="C29" s="450">
        <v>1.7600000000000001E-2</v>
      </c>
    </row>
    <row r="30" spans="1:3" ht="15">
      <c r="A30" s="451">
        <v>391</v>
      </c>
      <c r="B30" s="438" t="s">
        <v>1210</v>
      </c>
      <c r="C30" s="450">
        <v>2.4400000000000002E-2</v>
      </c>
    </row>
    <row r="31" spans="1:3" ht="15">
      <c r="A31" s="453">
        <v>391.11</v>
      </c>
      <c r="B31" s="438" t="s">
        <v>1211</v>
      </c>
      <c r="C31" s="450">
        <v>0.2</v>
      </c>
    </row>
    <row r="32" spans="1:3" ht="15">
      <c r="A32" s="451">
        <v>392</v>
      </c>
      <c r="B32" s="438" t="s">
        <v>1212</v>
      </c>
      <c r="C32" s="450">
        <v>6.6699999999999995E-2</v>
      </c>
    </row>
    <row r="33" spans="1:3" ht="15">
      <c r="A33" s="451">
        <v>393</v>
      </c>
      <c r="B33" s="438" t="s">
        <v>1213</v>
      </c>
      <c r="C33" s="450">
        <v>3.3300000000000003E-2</v>
      </c>
    </row>
    <row r="34" spans="1:3" ht="15">
      <c r="A34" s="451">
        <v>394</v>
      </c>
      <c r="B34" s="438" t="s">
        <v>1214</v>
      </c>
      <c r="C34" s="450">
        <v>0.04</v>
      </c>
    </row>
    <row r="35" spans="1:3" ht="15">
      <c r="A35" s="451">
        <v>395</v>
      </c>
      <c r="B35" s="438" t="s">
        <v>1215</v>
      </c>
      <c r="C35" s="450">
        <v>1.9400000000000001E-2</v>
      </c>
    </row>
    <row r="36" spans="1:3" ht="15">
      <c r="A36" s="451">
        <v>396</v>
      </c>
      <c r="B36" s="438" t="s">
        <v>1216</v>
      </c>
      <c r="C36" s="450">
        <v>4.24E-2</v>
      </c>
    </row>
    <row r="37" spans="1:3" ht="15">
      <c r="A37" s="451">
        <v>397</v>
      </c>
      <c r="B37" s="438" t="s">
        <v>1217</v>
      </c>
      <c r="C37" s="450">
        <v>4.5400000000000003E-2</v>
      </c>
    </row>
    <row r="38" spans="1:3" ht="15">
      <c r="A38" s="453">
        <v>397.16</v>
      </c>
      <c r="B38" s="438" t="s">
        <v>1218</v>
      </c>
      <c r="C38" s="450">
        <v>6.6699999999999995E-2</v>
      </c>
    </row>
    <row r="39" spans="1:3" ht="15">
      <c r="A39" s="451">
        <v>398</v>
      </c>
      <c r="B39" s="438" t="s">
        <v>1219</v>
      </c>
      <c r="C39" s="450">
        <v>0.05</v>
      </c>
    </row>
    <row r="40" spans="1:3" ht="15">
      <c r="A40" s="451">
        <v>399.3</v>
      </c>
      <c r="B40" s="438" t="s">
        <v>1220</v>
      </c>
      <c r="C40" s="450">
        <v>2.5000000000000001E-2</v>
      </c>
    </row>
    <row r="42" spans="1:3" ht="15">
      <c r="A42" s="438"/>
    </row>
    <row r="43" spans="1:3" ht="15.75">
      <c r="A43" s="444" t="s">
        <v>1367</v>
      </c>
      <c r="C43" s="450"/>
    </row>
    <row r="45" spans="1:3" ht="15">
      <c r="A45" s="447" t="s">
        <v>1199</v>
      </c>
      <c r="B45" s="448" t="s">
        <v>1200</v>
      </c>
      <c r="C45" s="447" t="s">
        <v>1201</v>
      </c>
    </row>
    <row r="46" spans="1:3" ht="15">
      <c r="A46" s="438"/>
      <c r="B46" s="438"/>
      <c r="C46" s="438"/>
    </row>
    <row r="47" spans="1:3" ht="15">
      <c r="A47" s="451">
        <v>303</v>
      </c>
      <c r="B47" s="438" t="s">
        <v>1371</v>
      </c>
      <c r="C47" s="450">
        <v>0.1</v>
      </c>
    </row>
    <row r="49" spans="1:3" ht="30.75" customHeight="1">
      <c r="A49" s="2545" t="s">
        <v>1368</v>
      </c>
      <c r="B49" s="2545"/>
      <c r="C49" s="2545"/>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S502"/>
  <sheetViews>
    <sheetView tabSelected="1" topLeftCell="A90" zoomScale="60" zoomScaleNormal="60" zoomScaleSheetLayoutView="75" zoomScalePageLayoutView="70" workbookViewId="0">
      <selection activeCell="N124" sqref="N124"/>
    </sheetView>
  </sheetViews>
  <sheetFormatPr defaultColWidth="11.42578125" defaultRowHeight="18"/>
  <cols>
    <col min="1" max="1" width="4.7109375" style="662" customWidth="1"/>
    <col min="2" max="2" width="7.85546875" style="778" customWidth="1"/>
    <col min="3" max="3" width="1.85546875" style="662" customWidth="1"/>
    <col min="4" max="4" width="63.28515625" style="662" customWidth="1"/>
    <col min="5" max="5" width="37.28515625" style="662" customWidth="1"/>
    <col min="6" max="6" width="26.140625" style="662" customWidth="1"/>
    <col min="7" max="7" width="20.7109375" style="662" customWidth="1"/>
    <col min="8" max="8" width="18.85546875" style="662" customWidth="1"/>
    <col min="9" max="9" width="9.85546875" style="662" customWidth="1"/>
    <col min="10" max="10" width="21.85546875" style="662" bestFit="1" customWidth="1"/>
    <col min="11" max="11" width="4.7109375" style="662" customWidth="1"/>
    <col min="12" max="12" width="21.140625" style="662" customWidth="1"/>
    <col min="13" max="13" width="19.42578125" style="2599" customWidth="1"/>
    <col min="14" max="14" width="14.140625" style="2599" bestFit="1" customWidth="1"/>
    <col min="15" max="15" width="3.140625" style="662" customWidth="1"/>
    <col min="16" max="16" width="20.5703125" style="662" bestFit="1" customWidth="1"/>
    <col min="17" max="16384" width="11.42578125" style="662"/>
  </cols>
  <sheetData>
    <row r="2" spans="2:14">
      <c r="D2" s="779"/>
      <c r="E2" s="780"/>
      <c r="F2" s="780"/>
      <c r="G2" s="781"/>
      <c r="I2" s="782"/>
      <c r="J2" s="782"/>
      <c r="K2" s="782"/>
      <c r="N2" s="2606">
        <f>+'PSO TCOS'!N2</f>
        <v>2018</v>
      </c>
    </row>
    <row r="3" spans="2:14">
      <c r="N3" s="2601"/>
    </row>
    <row r="4" spans="2:14">
      <c r="D4" s="783"/>
      <c r="E4" s="783"/>
      <c r="F4" s="784" t="s">
        <v>878</v>
      </c>
      <c r="G4" s="785"/>
      <c r="H4" s="785"/>
      <c r="J4" s="783"/>
      <c r="K4" s="655"/>
      <c r="L4" s="655"/>
      <c r="M4" s="2602"/>
    </row>
    <row r="5" spans="2:14">
      <c r="D5" s="783"/>
      <c r="E5" s="786"/>
      <c r="F5" s="784" t="s">
        <v>50</v>
      </c>
      <c r="G5" s="785"/>
      <c r="H5" s="785"/>
      <c r="J5" s="786"/>
      <c r="K5" s="655"/>
      <c r="L5" s="655"/>
      <c r="M5" s="2602"/>
    </row>
    <row r="6" spans="2:14">
      <c r="D6" s="655"/>
      <c r="E6" s="655"/>
      <c r="F6" s="787" t="str">
        <f>"Utilizing Actual / Projected Cost Data for the "&amp;N2&amp;" Rate Year"</f>
        <v>Utilizing Actual / Projected Cost Data for the 2018 Rate Year</v>
      </c>
      <c r="G6" s="785"/>
      <c r="H6" s="785"/>
      <c r="J6" s="655"/>
      <c r="K6" s="655"/>
      <c r="L6" s="655"/>
      <c r="M6" s="2602"/>
    </row>
    <row r="7" spans="2:14">
      <c r="B7" s="788"/>
      <c r="C7" s="789"/>
      <c r="D7" s="655"/>
      <c r="H7" s="790"/>
      <c r="I7" s="790"/>
      <c r="J7" s="790"/>
      <c r="K7" s="790"/>
      <c r="L7" s="655"/>
      <c r="M7" s="2603"/>
    </row>
    <row r="8" spans="2:14">
      <c r="B8" s="788"/>
      <c r="C8" s="789"/>
      <c r="D8" s="791"/>
      <c r="E8" s="655"/>
      <c r="F8" s="792" t="s">
        <v>570</v>
      </c>
      <c r="G8" s="793"/>
      <c r="H8" s="655"/>
      <c r="I8" s="655"/>
      <c r="J8" s="655"/>
      <c r="K8" s="655"/>
      <c r="L8" s="791"/>
      <c r="M8" s="2202"/>
      <c r="N8" s="2202"/>
    </row>
    <row r="9" spans="2:14">
      <c r="B9" s="788"/>
      <c r="C9" s="789"/>
      <c r="D9" s="655"/>
      <c r="E9" s="655"/>
      <c r="F9" s="794"/>
      <c r="G9" s="793"/>
      <c r="H9" s="655"/>
      <c r="I9" s="655"/>
      <c r="J9" s="655"/>
      <c r="K9" s="655"/>
      <c r="L9" s="791"/>
      <c r="M9" s="2202"/>
      <c r="N9" s="2202"/>
    </row>
    <row r="10" spans="2:14">
      <c r="B10" s="788" t="s">
        <v>310</v>
      </c>
      <c r="C10" s="789"/>
      <c r="D10" s="655"/>
      <c r="E10" s="655"/>
      <c r="F10" s="655"/>
      <c r="G10" s="793"/>
      <c r="H10" s="655"/>
      <c r="I10" s="655"/>
      <c r="J10" s="655"/>
      <c r="K10" s="655"/>
      <c r="L10" s="789" t="s">
        <v>257</v>
      </c>
      <c r="M10" s="2202"/>
      <c r="N10" s="2202"/>
    </row>
    <row r="11" spans="2:14" ht="18.75" thickBot="1">
      <c r="B11" s="795" t="s">
        <v>259</v>
      </c>
      <c r="C11" s="796"/>
      <c r="D11" s="655"/>
      <c r="E11" s="796"/>
      <c r="F11" s="655"/>
      <c r="G11" s="655"/>
      <c r="H11" s="655"/>
      <c r="I11" s="655"/>
      <c r="J11" s="655"/>
      <c r="K11" s="655"/>
      <c r="L11" s="797" t="s">
        <v>311</v>
      </c>
      <c r="M11" s="2202"/>
      <c r="N11" s="2202"/>
    </row>
    <row r="12" spans="2:14">
      <c r="B12" s="788">
        <v>1</v>
      </c>
      <c r="C12" s="789"/>
      <c r="D12" s="798" t="s">
        <v>253</v>
      </c>
      <c r="E12" s="655" t="str">
        <f>"(ln "&amp;B193&amp;")"</f>
        <v>(ln 117)</v>
      </c>
      <c r="F12" s="655"/>
      <c r="G12" s="799"/>
      <c r="H12" s="800"/>
      <c r="I12" s="655"/>
      <c r="J12" s="655"/>
      <c r="K12" s="655"/>
      <c r="L12" s="657">
        <f>+L193</f>
        <v>167607353.40002003</v>
      </c>
      <c r="M12" s="2604">
        <v>167685263.08924296</v>
      </c>
      <c r="N12" s="2605">
        <f>+L12-M12</f>
        <v>-77909.689222931862</v>
      </c>
    </row>
    <row r="13" spans="2:14" ht="18.75" thickBot="1">
      <c r="B13" s="788"/>
      <c r="C13" s="789"/>
      <c r="E13" s="801"/>
      <c r="F13" s="786"/>
      <c r="G13" s="797" t="s">
        <v>260</v>
      </c>
      <c r="H13" s="786"/>
      <c r="I13" s="802" t="s">
        <v>261</v>
      </c>
      <c r="J13" s="802"/>
      <c r="K13" s="655"/>
      <c r="L13" s="799"/>
      <c r="M13" s="2604"/>
      <c r="N13" s="2605">
        <f t="shared" ref="N13:N76" si="0">+L13-M13</f>
        <v>0</v>
      </c>
    </row>
    <row r="14" spans="2:14">
      <c r="B14" s="788">
        <f>+B12+1</f>
        <v>2</v>
      </c>
      <c r="C14" s="789"/>
      <c r="D14" s="803" t="s">
        <v>309</v>
      </c>
      <c r="E14" s="801" t="s">
        <v>858</v>
      </c>
      <c r="F14" s="786"/>
      <c r="G14" s="804">
        <f>+'SWEPCO WS H Rev Credits'!M52</f>
        <v>12378321.040000007</v>
      </c>
      <c r="H14" s="786"/>
      <c r="I14" s="805" t="s">
        <v>271</v>
      </c>
      <c r="J14" s="806">
        <v>1</v>
      </c>
      <c r="K14" s="786"/>
      <c r="L14" s="807">
        <f>+J14*G14</f>
        <v>12378321.040000007</v>
      </c>
      <c r="M14" s="2604">
        <v>12378321.040000007</v>
      </c>
      <c r="N14" s="2605">
        <f t="shared" si="0"/>
        <v>0</v>
      </c>
    </row>
    <row r="15" spans="2:14">
      <c r="B15" s="788"/>
      <c r="C15" s="789"/>
      <c r="D15" s="803"/>
      <c r="E15" s="801"/>
      <c r="F15" s="786"/>
      <c r="G15" s="804"/>
      <c r="H15" s="786"/>
      <c r="I15" s="805"/>
      <c r="J15" s="806"/>
      <c r="K15" s="786"/>
      <c r="L15" s="807"/>
      <c r="M15" s="2604"/>
      <c r="N15" s="2605">
        <f t="shared" si="0"/>
        <v>0</v>
      </c>
    </row>
    <row r="16" spans="2:14">
      <c r="B16" s="788">
        <f>+B14+1</f>
        <v>3</v>
      </c>
      <c r="C16" s="789"/>
      <c r="D16" s="798" t="s">
        <v>533</v>
      </c>
      <c r="E16" s="801" t="s">
        <v>881</v>
      </c>
      <c r="F16" s="786"/>
      <c r="G16" s="808"/>
      <c r="H16" s="786"/>
      <c r="I16" s="805"/>
      <c r="J16" s="806"/>
      <c r="K16" s="655"/>
      <c r="L16" s="808">
        <f>+'SWEPCO WS B - Facility credits'!D9</f>
        <v>0</v>
      </c>
      <c r="M16" s="2604">
        <v>0</v>
      </c>
      <c r="N16" s="2605">
        <f t="shared" si="0"/>
        <v>0</v>
      </c>
    </row>
    <row r="17" spans="2:14">
      <c r="B17" s="788"/>
      <c r="C17" s="789"/>
      <c r="E17" s="801"/>
      <c r="F17" s="786"/>
      <c r="G17" s="796"/>
      <c r="H17" s="786"/>
      <c r="I17" s="809"/>
      <c r="J17" s="809"/>
      <c r="K17" s="655"/>
      <c r="L17" s="799"/>
      <c r="M17" s="2604"/>
      <c r="N17" s="2605">
        <f t="shared" si="0"/>
        <v>0</v>
      </c>
    </row>
    <row r="18" spans="2:14" ht="18.75" thickBot="1">
      <c r="B18" s="788">
        <f>+B16+1</f>
        <v>4</v>
      </c>
      <c r="C18" s="789"/>
      <c r="D18" s="810" t="s">
        <v>33</v>
      </c>
      <c r="E18" s="801" t="str">
        <f>"(ln "&amp;B12&amp;" less ln "&amp;B14&amp;" plus ln " &amp;B16&amp;")"</f>
        <v>(ln 1 less ln 2 plus ln 3)</v>
      </c>
      <c r="F18" s="655"/>
      <c r="H18" s="786"/>
      <c r="I18" s="805"/>
      <c r="J18" s="786"/>
      <c r="K18" s="786"/>
      <c r="L18" s="811">
        <f>+L12-L14+L16</f>
        <v>155229032.36002004</v>
      </c>
      <c r="M18" s="2604">
        <v>155306942.04924297</v>
      </c>
      <c r="N18" s="2605">
        <f t="shared" si="0"/>
        <v>-77909.689222931862</v>
      </c>
    </row>
    <row r="19" spans="2:14" ht="18.75" thickTop="1">
      <c r="B19" s="788"/>
      <c r="C19" s="789"/>
      <c r="D19" s="803"/>
      <c r="E19" s="801"/>
      <c r="F19" s="655"/>
      <c r="H19" s="786"/>
      <c r="I19" s="805"/>
      <c r="J19" s="786"/>
      <c r="K19" s="786"/>
      <c r="L19" s="812"/>
      <c r="M19" s="2604"/>
      <c r="N19" s="2605">
        <f t="shared" si="0"/>
        <v>0</v>
      </c>
    </row>
    <row r="20" spans="2:14" ht="15" customHeight="1">
      <c r="B20" s="2428"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428"/>
      <c r="D20" s="2428"/>
      <c r="E20" s="2428"/>
      <c r="F20" s="2428"/>
      <c r="G20" s="2428"/>
      <c r="H20" s="2428"/>
      <c r="I20" s="2428"/>
      <c r="J20" s="791"/>
      <c r="M20" s="2604"/>
      <c r="N20" s="2605">
        <f t="shared" si="0"/>
        <v>0</v>
      </c>
    </row>
    <row r="21" spans="2:14" ht="18.75" customHeight="1">
      <c r="B21" s="2428"/>
      <c r="C21" s="2428"/>
      <c r="D21" s="2428"/>
      <c r="E21" s="2428"/>
      <c r="F21" s="2428"/>
      <c r="G21" s="2428"/>
      <c r="H21" s="2428"/>
      <c r="I21" s="2428"/>
      <c r="J21" s="791"/>
      <c r="K21" s="791"/>
      <c r="L21" s="791"/>
      <c r="M21" s="2604"/>
      <c r="N21" s="2605">
        <f t="shared" si="0"/>
        <v>0</v>
      </c>
    </row>
    <row r="22" spans="2:14" ht="15" customHeight="1">
      <c r="B22" s="813"/>
      <c r="C22" s="813"/>
      <c r="D22" s="813"/>
      <c r="E22" s="813"/>
      <c r="F22" s="813"/>
      <c r="G22" s="813"/>
      <c r="H22" s="813"/>
      <c r="I22" s="813"/>
      <c r="M22" s="2604"/>
      <c r="N22" s="2605">
        <f t="shared" si="0"/>
        <v>0</v>
      </c>
    </row>
    <row r="23" spans="2:14">
      <c r="B23" s="788">
        <f>+B18+1</f>
        <v>5</v>
      </c>
      <c r="C23" s="789"/>
      <c r="D23" s="2436" t="s">
        <v>882</v>
      </c>
      <c r="E23" s="2437"/>
      <c r="F23" s="786"/>
      <c r="G23" s="814">
        <f>+'SWEPCO WS G BPU ATRR'!N19</f>
        <v>81604435.927274346</v>
      </c>
      <c r="H23" s="786"/>
      <c r="I23" s="805" t="s">
        <v>271</v>
      </c>
      <c r="J23" s="806">
        <v>1</v>
      </c>
      <c r="K23" s="655"/>
      <c r="L23" s="812">
        <f>+J23*G23</f>
        <v>81604435.927274346</v>
      </c>
      <c r="M23" s="2604">
        <v>81604435.927274346</v>
      </c>
      <c r="N23" s="2605">
        <f t="shared" si="0"/>
        <v>0</v>
      </c>
    </row>
    <row r="24" spans="2:14">
      <c r="B24" s="788"/>
      <c r="C24" s="789"/>
      <c r="D24" s="2437"/>
      <c r="E24" s="2437"/>
      <c r="F24" s="786"/>
      <c r="G24" s="814"/>
      <c r="H24" s="786"/>
      <c r="I24" s="786"/>
      <c r="J24" s="806"/>
      <c r="K24" s="655"/>
      <c r="L24" s="812"/>
      <c r="M24" s="2604"/>
      <c r="N24" s="2605">
        <f t="shared" si="0"/>
        <v>0</v>
      </c>
    </row>
    <row r="25" spans="2:14">
      <c r="B25" s="788">
        <f>+B23+1</f>
        <v>6</v>
      </c>
      <c r="C25" s="789"/>
      <c r="D25" s="803" t="s">
        <v>34</v>
      </c>
      <c r="E25" s="801"/>
      <c r="F25" s="655"/>
      <c r="G25" s="815"/>
      <c r="H25" s="655"/>
      <c r="J25" s="655"/>
      <c r="K25" s="655"/>
      <c r="M25" s="2604"/>
      <c r="N25" s="2605">
        <f t="shared" si="0"/>
        <v>0</v>
      </c>
    </row>
    <row r="26" spans="2:14">
      <c r="B26" s="788">
        <f>B25+1</f>
        <v>7</v>
      </c>
      <c r="C26" s="789"/>
      <c r="D26" s="783" t="s">
        <v>370</v>
      </c>
      <c r="E26" s="655" t="str">
        <f>"(ln "&amp;B12&amp;"/ ln "&amp;B79&amp;" x 100%)"</f>
        <v>(ln 1/ ln 37 x 100%)</v>
      </c>
      <c r="F26" s="789"/>
      <c r="G26" s="789"/>
      <c r="H26" s="789"/>
      <c r="I26" s="816"/>
      <c r="J26" s="816"/>
      <c r="K26" s="816"/>
      <c r="L26" s="817">
        <f>IF(L79=0,0,(L12)/L79)</f>
        <v>0.1383067684712278</v>
      </c>
      <c r="M26" s="2604">
        <v>0.1383710582361482</v>
      </c>
      <c r="N26" s="2605">
        <f t="shared" si="0"/>
        <v>-6.428976492039995E-5</v>
      </c>
    </row>
    <row r="27" spans="2:14">
      <c r="B27" s="788">
        <f>B26+1</f>
        <v>8</v>
      </c>
      <c r="C27" s="789"/>
      <c r="D27" s="783" t="s">
        <v>371</v>
      </c>
      <c r="E27" s="655" t="str">
        <f>"(ln "&amp;B26&amp;" / 12)"</f>
        <v>(ln 7 / 12)</v>
      </c>
      <c r="F27" s="789"/>
      <c r="G27" s="789"/>
      <c r="H27" s="789"/>
      <c r="I27" s="816"/>
      <c r="J27" s="816"/>
      <c r="K27" s="816"/>
      <c r="L27" s="818">
        <f>L26/12</f>
        <v>1.1525564039268984E-2</v>
      </c>
      <c r="M27" s="2604">
        <v>1.1530921519679016E-2</v>
      </c>
      <c r="N27" s="2605">
        <f t="shared" si="0"/>
        <v>-5.3574804100321727E-6</v>
      </c>
    </row>
    <row r="28" spans="2:14">
      <c r="B28" s="788"/>
      <c r="C28" s="789"/>
      <c r="D28" s="783"/>
      <c r="E28" s="655"/>
      <c r="F28" s="789"/>
      <c r="G28" s="789"/>
      <c r="H28" s="789"/>
      <c r="I28" s="816"/>
      <c r="J28" s="816"/>
      <c r="K28" s="816"/>
      <c r="L28" s="818"/>
      <c r="M28" s="2604"/>
      <c r="N28" s="2605">
        <f t="shared" si="0"/>
        <v>0</v>
      </c>
    </row>
    <row r="29" spans="2:14">
      <c r="B29" s="788">
        <f>B27+1</f>
        <v>9</v>
      </c>
      <c r="C29" s="789"/>
      <c r="D29" s="803" t="str">
        <f>"NET PLANT CARRYING CHARGE ON LINE "&amp;B26&amp;" , W/O DEPRECIATION (w/o incentives) (Note B)"</f>
        <v>NET PLANT CARRYING CHARGE ON LINE 7 , W/O DEPRECIATION (w/o incentives) (Note B)</v>
      </c>
      <c r="E29" s="655"/>
      <c r="F29" s="789"/>
      <c r="G29" s="789"/>
      <c r="H29" s="789"/>
      <c r="I29" s="816"/>
      <c r="J29" s="816"/>
      <c r="K29" s="816"/>
      <c r="L29" s="818"/>
      <c r="M29" s="2604"/>
      <c r="N29" s="2605">
        <f t="shared" si="0"/>
        <v>0</v>
      </c>
    </row>
    <row r="30" spans="2:14">
      <c r="B30" s="788">
        <f>B29+1</f>
        <v>10</v>
      </c>
      <c r="C30" s="789"/>
      <c r="D30" s="783" t="s">
        <v>370</v>
      </c>
      <c r="E30" s="655" t="str">
        <f>"( (ln "&amp;B12&amp;" - ln "&amp;B153&amp;") / ln "&amp;B79&amp;" x 100%)"</f>
        <v>( (ln 1 - ln 86) / ln 37 x 100%)</v>
      </c>
      <c r="F30" s="789"/>
      <c r="G30" s="789"/>
      <c r="H30" s="789"/>
      <c r="I30" s="816"/>
      <c r="J30" s="816"/>
      <c r="K30" s="816"/>
      <c r="L30" s="817">
        <f>IF(L79=0,0,(L12-L153)/L79)</f>
        <v>0.10554029605486887</v>
      </c>
      <c r="M30" s="2604">
        <v>0.10560458581978929</v>
      </c>
      <c r="N30" s="2605">
        <f t="shared" si="0"/>
        <v>-6.4289764920427706E-5</v>
      </c>
    </row>
    <row r="31" spans="2:14">
      <c r="B31" s="788"/>
      <c r="C31" s="789"/>
      <c r="D31" s="783"/>
      <c r="E31" s="655"/>
      <c r="F31" s="789"/>
      <c r="G31" s="789"/>
      <c r="H31" s="789"/>
      <c r="I31" s="816"/>
      <c r="J31" s="816"/>
      <c r="K31" s="816"/>
      <c r="L31" s="818"/>
      <c r="M31" s="2604"/>
      <c r="N31" s="2605">
        <f t="shared" si="0"/>
        <v>0</v>
      </c>
    </row>
    <row r="32" spans="2:14">
      <c r="B32" s="788">
        <f>B30+1</f>
        <v>11</v>
      </c>
      <c r="C32" s="789"/>
      <c r="D32" s="803" t="str">
        <f>"NET PLANT CARRYING CHARGE ON LINE "&amp;B29&amp;", W/O  INCOME TAXES, RETURN  (Note B)"</f>
        <v>NET PLANT CARRYING CHARGE ON LINE 9, W/O  INCOME TAXES, RETURN  (Note B)</v>
      </c>
      <c r="E32" s="655"/>
      <c r="F32" s="789"/>
      <c r="G32" s="789"/>
      <c r="H32" s="789"/>
      <c r="I32" s="816"/>
      <c r="J32" s="816"/>
      <c r="K32" s="816"/>
      <c r="L32" s="817"/>
      <c r="M32" s="2604"/>
      <c r="N32" s="2605">
        <f t="shared" si="0"/>
        <v>0</v>
      </c>
    </row>
    <row r="33" spans="2:14">
      <c r="B33" s="788">
        <f>B32+1</f>
        <v>12</v>
      </c>
      <c r="C33" s="789"/>
      <c r="D33" s="783" t="s">
        <v>370</v>
      </c>
      <c r="E33" s="655" t="str">
        <f>"( (ln "&amp;B12&amp;" - ln "&amp;B153&amp;" - ln "&amp;B182&amp;" - ln "&amp;B184&amp;") / ln "&amp;B79&amp;" x 100%)"</f>
        <v>( (ln 1 - ln 86 - ln 111 - ln 112) / ln 37 x 100%)</v>
      </c>
      <c r="F33" s="789"/>
      <c r="G33" s="789"/>
      <c r="H33" s="789"/>
      <c r="I33" s="816"/>
      <c r="J33" s="816"/>
      <c r="K33" s="816"/>
      <c r="L33" s="819">
        <f>IF(L79=0,0,(L12-L153-L182-L184)/L79)</f>
        <v>3.7977332916853443E-2</v>
      </c>
      <c r="M33" s="2604">
        <v>3.7977358893227571E-2</v>
      </c>
      <c r="N33" s="2605">
        <f t="shared" si="0"/>
        <v>-2.5976374128100499E-8</v>
      </c>
    </row>
    <row r="34" spans="2:14">
      <c r="B34" s="788"/>
      <c r="C34" s="789"/>
      <c r="D34" s="783"/>
      <c r="E34" s="655"/>
      <c r="F34" s="789"/>
      <c r="G34" s="789"/>
      <c r="H34" s="789"/>
      <c r="I34" s="816"/>
      <c r="J34" s="816"/>
      <c r="K34" s="816"/>
      <c r="L34" s="817"/>
      <c r="M34" s="2604"/>
      <c r="N34" s="2605">
        <f t="shared" si="0"/>
        <v>0</v>
      </c>
    </row>
    <row r="35" spans="2:14">
      <c r="B35" s="788">
        <f>B33+1</f>
        <v>13</v>
      </c>
      <c r="C35" s="789"/>
      <c r="D35" s="798" t="s">
        <v>910</v>
      </c>
      <c r="E35" s="655"/>
      <c r="F35" s="789"/>
      <c r="G35" s="789"/>
      <c r="H35" s="789"/>
      <c r="I35" s="816"/>
      <c r="J35" s="816"/>
      <c r="K35" s="816"/>
      <c r="L35" s="820">
        <f>+'SWEPCO WS G BPU ATRR'!P19</f>
        <v>0</v>
      </c>
      <c r="M35" s="2604">
        <v>0</v>
      </c>
      <c r="N35" s="2605">
        <f t="shared" si="0"/>
        <v>0</v>
      </c>
    </row>
    <row r="36" spans="2:14">
      <c r="B36" s="788"/>
      <c r="C36" s="789"/>
      <c r="E36" s="655"/>
      <c r="F36" s="789"/>
      <c r="G36" s="789"/>
      <c r="H36" s="789"/>
      <c r="I36" s="816"/>
      <c r="J36" s="816"/>
      <c r="K36" s="816"/>
      <c r="L36" s="817"/>
      <c r="M36" s="2604"/>
      <c r="N36" s="2605">
        <f t="shared" si="0"/>
        <v>0</v>
      </c>
    </row>
    <row r="37" spans="2:14">
      <c r="B37" s="662"/>
      <c r="C37" s="789"/>
      <c r="E37" s="655"/>
      <c r="F37" s="789"/>
      <c r="G37" s="789"/>
      <c r="H37" s="789"/>
      <c r="I37" s="816"/>
      <c r="J37" s="816"/>
      <c r="K37" s="816"/>
      <c r="L37" s="817"/>
      <c r="M37" s="2604"/>
      <c r="N37" s="2605">
        <f t="shared" si="0"/>
        <v>0</v>
      </c>
    </row>
    <row r="38" spans="2:14">
      <c r="B38" s="788"/>
      <c r="C38" s="789"/>
      <c r="E38" s="655"/>
      <c r="F38" s="789"/>
      <c r="G38" s="789"/>
      <c r="H38" s="789"/>
      <c r="I38" s="816"/>
      <c r="J38" s="816"/>
      <c r="K38" s="816"/>
      <c r="L38" s="817"/>
      <c r="M38" s="2604"/>
      <c r="N38" s="2605">
        <f t="shared" si="0"/>
        <v>0</v>
      </c>
    </row>
    <row r="39" spans="2:14">
      <c r="B39" s="788"/>
      <c r="C39" s="789"/>
      <c r="E39" s="655"/>
      <c r="F39" s="789"/>
      <c r="G39" s="789"/>
      <c r="H39" s="789"/>
      <c r="I39" s="816"/>
      <c r="J39" s="816"/>
      <c r="K39" s="816"/>
      <c r="L39" s="817"/>
      <c r="M39" s="2604"/>
      <c r="N39" s="2605">
        <f t="shared" si="0"/>
        <v>0</v>
      </c>
    </row>
    <row r="40" spans="2:14">
      <c r="D40" s="783"/>
      <c r="E40" s="783"/>
      <c r="G40" s="800"/>
      <c r="H40" s="783"/>
      <c r="I40" s="783"/>
      <c r="J40" s="783"/>
      <c r="K40" s="783"/>
      <c r="L40" s="783"/>
      <c r="M40" s="2604"/>
      <c r="N40" s="2605">
        <f t="shared" si="0"/>
        <v>0</v>
      </c>
    </row>
    <row r="41" spans="2:14">
      <c r="D41" s="783"/>
      <c r="E41" s="783"/>
      <c r="F41" s="789"/>
      <c r="G41" s="800"/>
      <c r="H41" s="783"/>
      <c r="I41" s="783"/>
      <c r="J41" s="783"/>
      <c r="K41" s="783"/>
      <c r="L41" s="783"/>
      <c r="M41" s="2604"/>
      <c r="N41" s="2605">
        <f t="shared" si="0"/>
        <v>0</v>
      </c>
    </row>
    <row r="42" spans="2:14">
      <c r="D42" s="783"/>
      <c r="E42" s="783"/>
      <c r="F42" s="789" t="str">
        <f>F4</f>
        <v xml:space="preserve">AEP West SPP Member Operating Companies </v>
      </c>
      <c r="G42" s="800"/>
      <c r="H42" s="783"/>
      <c r="I42" s="783"/>
      <c r="J42" s="783"/>
      <c r="K42" s="783"/>
      <c r="L42" s="783"/>
      <c r="M42" s="2604"/>
      <c r="N42" s="2605">
        <f t="shared" si="0"/>
        <v>0</v>
      </c>
    </row>
    <row r="43" spans="2:14">
      <c r="D43" s="783"/>
      <c r="E43" s="786"/>
      <c r="F43" s="789" t="str">
        <f>F5</f>
        <v>Transmission Cost of Service Formula Rate</v>
      </c>
      <c r="G43" s="786"/>
      <c r="H43" s="786"/>
      <c r="I43" s="786"/>
      <c r="J43" s="786"/>
      <c r="K43" s="786"/>
      <c r="L43" s="786"/>
      <c r="M43" s="2604"/>
      <c r="N43" s="2605">
        <f t="shared" si="0"/>
        <v>0</v>
      </c>
    </row>
    <row r="44" spans="2:14">
      <c r="D44" s="783"/>
      <c r="E44" s="786"/>
      <c r="F44" s="805" t="str">
        <f>F6</f>
        <v>Utilizing Actual / Projected Cost Data for the 2018 Rate Year</v>
      </c>
      <c r="G44" s="786"/>
      <c r="H44" s="786"/>
      <c r="I44" s="786"/>
      <c r="J44" s="786"/>
      <c r="K44" s="786"/>
      <c r="L44" s="786"/>
      <c r="M44" s="2604"/>
      <c r="N44" s="2605">
        <f t="shared" si="0"/>
        <v>0</v>
      </c>
    </row>
    <row r="45" spans="2:14">
      <c r="D45" s="783"/>
      <c r="E45" s="786"/>
      <c r="F45" s="789"/>
      <c r="G45" s="786"/>
      <c r="H45" s="786"/>
      <c r="I45" s="786"/>
      <c r="J45" s="786"/>
      <c r="K45" s="786"/>
      <c r="L45" s="786"/>
      <c r="M45" s="2604"/>
      <c r="N45" s="2605">
        <f t="shared" si="0"/>
        <v>0</v>
      </c>
    </row>
    <row r="46" spans="2:14">
      <c r="D46" s="783"/>
      <c r="E46" s="786"/>
      <c r="F46" s="789" t="str">
        <f>F8</f>
        <v>SOUTHWESTERN ELECTRIC POWER COMPANY</v>
      </c>
      <c r="G46" s="786"/>
      <c r="H46" s="786"/>
      <c r="I46" s="786"/>
      <c r="J46" s="786"/>
      <c r="K46" s="786"/>
      <c r="L46" s="786"/>
      <c r="M46" s="2604"/>
      <c r="N46" s="2605">
        <f t="shared" si="0"/>
        <v>0</v>
      </c>
    </row>
    <row r="47" spans="2:14">
      <c r="D47" s="783"/>
      <c r="E47" s="805"/>
      <c r="F47" s="805"/>
      <c r="G47" s="805"/>
      <c r="H47" s="805"/>
      <c r="I47" s="805"/>
      <c r="J47" s="805"/>
      <c r="K47" s="805"/>
      <c r="L47" s="786"/>
      <c r="M47" s="2604"/>
      <c r="N47" s="2605">
        <f t="shared" si="0"/>
        <v>0</v>
      </c>
    </row>
    <row r="48" spans="2:14">
      <c r="D48" s="789" t="s">
        <v>263</v>
      </c>
      <c r="E48" s="789" t="s">
        <v>264</v>
      </c>
      <c r="F48" s="789"/>
      <c r="G48" s="789" t="s">
        <v>265</v>
      </c>
      <c r="H48" s="786" t="s">
        <v>256</v>
      </c>
      <c r="I48" s="2431" t="s">
        <v>266</v>
      </c>
      <c r="J48" s="2432"/>
      <c r="K48" s="786"/>
      <c r="L48" s="790" t="s">
        <v>267</v>
      </c>
      <c r="M48" s="2604" t="s">
        <v>267</v>
      </c>
      <c r="N48" s="2605">
        <f t="shared" si="0"/>
        <v>0</v>
      </c>
    </row>
    <row r="49" spans="2:15">
      <c r="B49" s="662"/>
      <c r="D49" s="791"/>
      <c r="E49" s="791"/>
      <c r="F49" s="791"/>
      <c r="G49" s="823"/>
      <c r="H49" s="786"/>
      <c r="I49" s="786"/>
      <c r="J49" s="824"/>
      <c r="K49" s="786"/>
      <c r="M49" s="2604"/>
      <c r="N49" s="2605">
        <f t="shared" si="0"/>
        <v>0</v>
      </c>
    </row>
    <row r="50" spans="2:15">
      <c r="B50" s="825"/>
      <c r="C50" s="789"/>
      <c r="D50" s="791"/>
      <c r="E50" s="826" t="s">
        <v>242</v>
      </c>
      <c r="F50" s="827"/>
      <c r="G50" s="786"/>
      <c r="H50" s="786"/>
      <c r="I50" s="786"/>
      <c r="J50" s="789"/>
      <c r="K50" s="786"/>
      <c r="L50" s="828" t="s">
        <v>260</v>
      </c>
      <c r="M50" s="2604" t="s">
        <v>260</v>
      </c>
      <c r="N50" s="2605" t="e">
        <f t="shared" si="0"/>
        <v>#VALUE!</v>
      </c>
    </row>
    <row r="51" spans="2:15">
      <c r="B51" s="662"/>
      <c r="C51" s="796"/>
      <c r="D51" s="829" t="s">
        <v>241</v>
      </c>
      <c r="E51" s="830" t="s">
        <v>254</v>
      </c>
      <c r="F51" s="786"/>
      <c r="G51" s="829" t="s">
        <v>228</v>
      </c>
      <c r="H51" s="831"/>
      <c r="I51" s="2429" t="s">
        <v>261</v>
      </c>
      <c r="J51" s="2430"/>
      <c r="K51" s="831"/>
      <c r="L51" s="829" t="s">
        <v>257</v>
      </c>
      <c r="M51" s="2604" t="s">
        <v>257</v>
      </c>
      <c r="N51" s="2605" t="e">
        <f t="shared" si="0"/>
        <v>#VALUE!</v>
      </c>
    </row>
    <row r="52" spans="2:15">
      <c r="B52" s="832" t="str">
        <f>B10</f>
        <v>Line</v>
      </c>
      <c r="C52" s="789"/>
      <c r="D52" s="783"/>
      <c r="E52" s="786"/>
      <c r="F52" s="786"/>
      <c r="G52" s="833" t="s">
        <v>144</v>
      </c>
      <c r="H52" s="786"/>
      <c r="I52" s="786"/>
      <c r="J52" s="786"/>
      <c r="K52" s="786"/>
      <c r="L52" s="786"/>
      <c r="M52" s="2604"/>
      <c r="N52" s="2605">
        <f t="shared" si="0"/>
        <v>0</v>
      </c>
    </row>
    <row r="53" spans="2:15" ht="18.75" thickBot="1">
      <c r="B53" s="795" t="str">
        <f>B11</f>
        <v>No.</v>
      </c>
      <c r="C53" s="789"/>
      <c r="D53" s="783" t="s">
        <v>229</v>
      </c>
      <c r="E53" s="834"/>
      <c r="F53" s="834"/>
      <c r="G53" s="786"/>
      <c r="H53" s="786"/>
      <c r="I53" s="805"/>
      <c r="J53" s="786"/>
      <c r="K53" s="786"/>
      <c r="L53" s="786"/>
      <c r="M53" s="2604"/>
      <c r="N53" s="2605">
        <f t="shared" si="0"/>
        <v>0</v>
      </c>
    </row>
    <row r="54" spans="2:15">
      <c r="B54" s="788">
        <f>+B35+1</f>
        <v>14</v>
      </c>
      <c r="C54" s="789"/>
      <c r="D54" s="835" t="s">
        <v>268</v>
      </c>
      <c r="E54" s="786" t="str">
        <f>"(Worksheet A-1 ln "&amp;'SWEPCO WS A-1 - Plant'!A24&amp;".B)"</f>
        <v>(Worksheet A-1 ln 14.B)</v>
      </c>
      <c r="F54" s="836"/>
      <c r="G54" s="814">
        <f>+'SWEPCO WS A-1 - Plant'!C24</f>
        <v>4721828708.5</v>
      </c>
      <c r="H54" s="814"/>
      <c r="I54" s="805" t="s">
        <v>269</v>
      </c>
      <c r="J54" s="806">
        <v>0</v>
      </c>
      <c r="K54" s="786"/>
      <c r="L54" s="814">
        <f>+J54*G54</f>
        <v>0</v>
      </c>
      <c r="M54" s="2604">
        <v>0</v>
      </c>
      <c r="N54" s="2605">
        <f t="shared" si="0"/>
        <v>0</v>
      </c>
    </row>
    <row r="55" spans="2:15">
      <c r="B55" s="788">
        <f t="shared" ref="B55:B63" si="1">+B54+1</f>
        <v>15</v>
      </c>
      <c r="C55" s="789"/>
      <c r="D55" s="835" t="s">
        <v>19</v>
      </c>
      <c r="E55" s="786" t="str">
        <f>"(Worksheet A-1 ln "&amp;'SWEPCO WS A-1 - Plant'!A24&amp;".C)"</f>
        <v>(Worksheet A-1 ln 14.C)</v>
      </c>
      <c r="F55" s="836"/>
      <c r="G55" s="814">
        <f>-'SWEPCO WS A-1 - Plant'!D24</f>
        <v>-96201576</v>
      </c>
      <c r="H55" s="814"/>
      <c r="I55" s="805" t="s">
        <v>269</v>
      </c>
      <c r="J55" s="806">
        <v>0</v>
      </c>
      <c r="K55" s="786"/>
      <c r="L55" s="814">
        <f>+J55*G55</f>
        <v>0</v>
      </c>
      <c r="M55" s="2604">
        <v>0</v>
      </c>
      <c r="N55" s="2605">
        <f t="shared" si="0"/>
        <v>0</v>
      </c>
    </row>
    <row r="56" spans="2:15">
      <c r="B56" s="788">
        <f t="shared" si="1"/>
        <v>16</v>
      </c>
      <c r="C56" s="837"/>
      <c r="D56" s="838" t="s">
        <v>270</v>
      </c>
      <c r="E56" s="786" t="str">
        <f>"(Worksheet A-1 ln "&amp;'SWEPCO WS A-1 - Plant'!A24&amp;".D &amp; Ln "&amp;B209</f>
        <v>(Worksheet A-1 ln 14.D &amp; Ln 121</v>
      </c>
      <c r="F56" s="839"/>
      <c r="G56" s="814">
        <f>+'SWEPCO WS A-1 - Plant'!E24</f>
        <v>1774860127.5</v>
      </c>
      <c r="H56" s="814"/>
      <c r="I56" s="840" t="s">
        <v>271</v>
      </c>
      <c r="J56" s="786"/>
      <c r="K56" s="841"/>
      <c r="L56" s="842">
        <f>+L209</f>
        <v>1685525738.4620581</v>
      </c>
      <c r="M56" s="2604">
        <v>1685525738.4620581</v>
      </c>
      <c r="N56" s="2605">
        <f t="shared" si="0"/>
        <v>0</v>
      </c>
    </row>
    <row r="57" spans="2:15">
      <c r="B57" s="788">
        <f t="shared" si="1"/>
        <v>17</v>
      </c>
      <c r="C57" s="837"/>
      <c r="D57" s="835" t="s">
        <v>20</v>
      </c>
      <c r="E57" s="786" t="str">
        <f>"(Worksheet A-1 ln "&amp;'SWEPCO WS A-1 - Plant'!A24&amp;".E)"</f>
        <v>(Worksheet A-1 ln 14.E)</v>
      </c>
      <c r="F57" s="839"/>
      <c r="G57" s="814">
        <f>-'SWEPCO WS A-1 - Plant'!F24</f>
        <v>0</v>
      </c>
      <c r="H57" s="814"/>
      <c r="I57" s="840" t="s">
        <v>262</v>
      </c>
      <c r="J57" s="806">
        <f>+$L$211</f>
        <v>0.94966680041216833</v>
      </c>
      <c r="K57" s="841"/>
      <c r="L57" s="842">
        <f>+G57*J57</f>
        <v>0</v>
      </c>
      <c r="M57" s="2604">
        <v>0</v>
      </c>
      <c r="N57" s="2605">
        <f t="shared" si="0"/>
        <v>0</v>
      </c>
    </row>
    <row r="58" spans="2:15">
      <c r="B58" s="788">
        <f>+B57+1</f>
        <v>18</v>
      </c>
      <c r="C58" s="837"/>
      <c r="D58" s="783" t="s">
        <v>272</v>
      </c>
      <c r="E58" s="786" t="str">
        <f>"(Worksheet A-1 ln "&amp;'SWEPCO WS A-1 - Plant'!A24&amp;".F)"</f>
        <v>(Worksheet A-1 ln 14.F)</v>
      </c>
      <c r="F58" s="836"/>
      <c r="G58" s="814">
        <f>+'SWEPCO WS A-1 - Plant'!G24</f>
        <v>2140319143</v>
      </c>
      <c r="H58" s="814"/>
      <c r="I58" s="805" t="s">
        <v>269</v>
      </c>
      <c r="J58" s="806">
        <v>0</v>
      </c>
      <c r="K58" s="786"/>
      <c r="L58" s="814">
        <f>+J58*G58</f>
        <v>0</v>
      </c>
      <c r="M58" s="2604">
        <v>0</v>
      </c>
      <c r="N58" s="2605">
        <f t="shared" si="0"/>
        <v>0</v>
      </c>
    </row>
    <row r="59" spans="2:15">
      <c r="B59" s="788">
        <f t="shared" si="1"/>
        <v>19</v>
      </c>
      <c r="C59" s="837"/>
      <c r="D59" s="835" t="s">
        <v>17</v>
      </c>
      <c r="E59" s="786" t="str">
        <f>"(Worksheet A-1 ln "&amp;'SWEPCO WS A-1 - Plant'!A24&amp;".G)"</f>
        <v>(Worksheet A-1 ln 14.G)</v>
      </c>
      <c r="F59" s="836"/>
      <c r="G59" s="814">
        <f>-'SWEPCO WS A-1 - Plant'!H24</f>
        <v>0</v>
      </c>
      <c r="H59" s="814"/>
      <c r="I59" s="805" t="s">
        <v>269</v>
      </c>
      <c r="J59" s="806">
        <v>0</v>
      </c>
      <c r="K59" s="786"/>
      <c r="L59" s="814">
        <f>+G59*J59</f>
        <v>0</v>
      </c>
      <c r="M59" s="2604">
        <v>0</v>
      </c>
      <c r="N59" s="2605">
        <f t="shared" si="0"/>
        <v>0</v>
      </c>
    </row>
    <row r="60" spans="2:15">
      <c r="B60" s="788">
        <f t="shared" si="1"/>
        <v>20</v>
      </c>
      <c r="C60" s="837"/>
      <c r="D60" s="783" t="s">
        <v>273</v>
      </c>
      <c r="E60" s="786" t="str">
        <f>"(Worksheet A-1 ln "&amp;'SWEPCO WS A-1 - Plant'!A44&amp;".B)"</f>
        <v>(Worksheet A-1 ln 28.B)</v>
      </c>
      <c r="F60" s="836"/>
      <c r="G60" s="814">
        <f>+'SWEPCO WS A-1 - Plant'!C44</f>
        <v>301041860.5</v>
      </c>
      <c r="H60" s="814"/>
      <c r="I60" s="805" t="s">
        <v>274</v>
      </c>
      <c r="J60" s="806">
        <f>+$L$221</f>
        <v>7.7548538419814919E-2</v>
      </c>
      <c r="K60" s="786"/>
      <c r="L60" s="814">
        <f>+J60*G60</f>
        <v>23345356.284956813</v>
      </c>
      <c r="M60" s="2604">
        <v>23345356.284956813</v>
      </c>
      <c r="N60" s="2605">
        <f t="shared" si="0"/>
        <v>0</v>
      </c>
    </row>
    <row r="61" spans="2:15">
      <c r="B61" s="788">
        <f t="shared" si="1"/>
        <v>21</v>
      </c>
      <c r="C61" s="837"/>
      <c r="D61" s="835" t="s">
        <v>18</v>
      </c>
      <c r="E61" s="786" t="str">
        <f>"(Worksheet A-1 ln "&amp;'SWEPCO WS A-1 - Plant'!A44&amp;".C)"</f>
        <v>(Worksheet A-1 ln 28.C)</v>
      </c>
      <c r="F61" s="836"/>
      <c r="G61" s="814">
        <f>-'SWEPCO WS A-1 - Plant'!D44</f>
        <v>-1050032</v>
      </c>
      <c r="H61" s="814"/>
      <c r="I61" s="805" t="s">
        <v>274</v>
      </c>
      <c r="J61" s="806">
        <f>+$L$221</f>
        <v>7.7548538419814919E-2</v>
      </c>
      <c r="K61" s="786"/>
      <c r="L61" s="814">
        <f>+G61*J61</f>
        <v>-81428.446894035093</v>
      </c>
      <c r="M61" s="2604">
        <v>-81428.446894035093</v>
      </c>
      <c r="N61" s="2605">
        <f t="shared" si="0"/>
        <v>0</v>
      </c>
    </row>
    <row r="62" spans="2:15" ht="18.75" thickBot="1">
      <c r="B62" s="788">
        <f t="shared" si="1"/>
        <v>22</v>
      </c>
      <c r="C62" s="837"/>
      <c r="D62" s="783" t="s">
        <v>275</v>
      </c>
      <c r="E62" s="786" t="str">
        <f>"(Worksheet A-1 ln "&amp;'SWEPCO WS A-1 - Plant'!A44&amp;".D)"</f>
        <v>(Worksheet A-1 ln 28.D)</v>
      </c>
      <c r="F62" s="836"/>
      <c r="G62" s="843">
        <f>+'SWEPCO WS A-1 - Plant'!E44</f>
        <v>96827799</v>
      </c>
      <c r="H62" s="814"/>
      <c r="I62" s="805" t="s">
        <v>274</v>
      </c>
      <c r="J62" s="806">
        <f>+$L$221</f>
        <v>7.7548538419814919E-2</v>
      </c>
      <c r="K62" s="786"/>
      <c r="L62" s="843">
        <f>+J62*G62</f>
        <v>7508854.2908576168</v>
      </c>
      <c r="M62" s="2604">
        <v>7508854.2908576168</v>
      </c>
      <c r="N62" s="2605">
        <f t="shared" si="0"/>
        <v>0</v>
      </c>
      <c r="O62" s="783"/>
    </row>
    <row r="63" spans="2:15">
      <c r="B63" s="825">
        <f t="shared" si="1"/>
        <v>23</v>
      </c>
      <c r="C63" s="837"/>
      <c r="D63" s="783" t="s">
        <v>227</v>
      </c>
      <c r="E63" s="800" t="str">
        <f>"(sum lns "&amp;B54&amp;" to "&amp;B62&amp;")"</f>
        <v>(sum lns 14 to 22)</v>
      </c>
      <c r="F63" s="844"/>
      <c r="G63" s="814">
        <f>SUM(G54:G62)</f>
        <v>8937626030.5</v>
      </c>
      <c r="H63" s="814"/>
      <c r="I63" s="823" t="s">
        <v>866</v>
      </c>
      <c r="J63" s="845">
        <f>IF(G63=0,0,L63/G63)</f>
        <v>0.1920306930200528</v>
      </c>
      <c r="K63" s="786"/>
      <c r="L63" s="814">
        <f>SUM(L54:L62)</f>
        <v>1716298520.5909786</v>
      </c>
      <c r="M63" s="2604">
        <v>1716298520.5909786</v>
      </c>
      <c r="N63" s="2605">
        <f t="shared" si="0"/>
        <v>0</v>
      </c>
      <c r="O63" s="783"/>
    </row>
    <row r="64" spans="2:15">
      <c r="B64" s="825"/>
      <c r="C64" s="789"/>
      <c r="D64" s="783"/>
      <c r="E64" s="846"/>
      <c r="F64" s="844"/>
      <c r="G64" s="847"/>
      <c r="H64" s="814"/>
      <c r="I64" s="848" t="s">
        <v>356</v>
      </c>
      <c r="J64" s="1701">
        <f>+G56/(+G56+G58)</f>
        <v>0.45332793337796151</v>
      </c>
      <c r="K64" s="786"/>
      <c r="L64" s="814"/>
      <c r="M64" s="2604"/>
      <c r="N64" s="2605">
        <f t="shared" si="0"/>
        <v>0</v>
      </c>
      <c r="O64" s="783"/>
    </row>
    <row r="65" spans="2:15">
      <c r="B65" s="788">
        <f>+B63+1</f>
        <v>24</v>
      </c>
      <c r="C65" s="789"/>
      <c r="D65" s="783" t="s">
        <v>209</v>
      </c>
      <c r="E65" s="834"/>
      <c r="F65" s="834"/>
      <c r="G65" s="847"/>
      <c r="H65" s="850"/>
      <c r="I65" s="805"/>
      <c r="J65" s="851"/>
      <c r="K65" s="786"/>
      <c r="L65" s="814"/>
      <c r="M65" s="2604"/>
      <c r="N65" s="2605">
        <f t="shared" si="0"/>
        <v>0</v>
      </c>
      <c r="O65" s="786"/>
    </row>
    <row r="66" spans="2:15">
      <c r="B66" s="788">
        <f t="shared" ref="B66:B75" si="2">+B65+1</f>
        <v>25</v>
      </c>
      <c r="C66" s="789"/>
      <c r="D66" s="835" t="str">
        <f>+D54</f>
        <v xml:space="preserve">  Production</v>
      </c>
      <c r="E66" s="786" t="str">
        <f>"(Worksheet A-2 ln "&amp;'SWEPCO WS A-1 - Plant'!A24&amp;".B)"</f>
        <v>(Worksheet A-2 ln 14.B)</v>
      </c>
      <c r="F66" s="836"/>
      <c r="G66" s="814">
        <f>+'SWEPCO WS A-2 Accumulated Depn'!C24</f>
        <v>1470184231</v>
      </c>
      <c r="H66" s="814"/>
      <c r="I66" s="805" t="s">
        <v>269</v>
      </c>
      <c r="J66" s="806">
        <v>0</v>
      </c>
      <c r="K66" s="786"/>
      <c r="L66" s="814">
        <f>+J66*G66</f>
        <v>0</v>
      </c>
      <c r="M66" s="2604">
        <v>0</v>
      </c>
      <c r="N66" s="2605">
        <f t="shared" si="0"/>
        <v>0</v>
      </c>
      <c r="O66" s="786"/>
    </row>
    <row r="67" spans="2:15">
      <c r="B67" s="788">
        <f t="shared" si="2"/>
        <v>26</v>
      </c>
      <c r="C67" s="789"/>
      <c r="D67" s="835" t="s">
        <v>19</v>
      </c>
      <c r="E67" s="786" t="str">
        <f>"(Worksheet A-2 ln "&amp;'SWEPCO WS A-1 - Plant'!A24&amp;".C)"</f>
        <v>(Worksheet A-2 ln 14.C)</v>
      </c>
      <c r="F67" s="836"/>
      <c r="G67" s="814">
        <f>-'SWEPCO WS A-2 Accumulated Depn'!D24</f>
        <v>-10223749.5</v>
      </c>
      <c r="H67" s="814"/>
      <c r="I67" s="805" t="s">
        <v>269</v>
      </c>
      <c r="J67" s="806">
        <v>0</v>
      </c>
      <c r="K67" s="786"/>
      <c r="L67" s="814">
        <f>+J67*G67</f>
        <v>0</v>
      </c>
      <c r="M67" s="2604">
        <v>0</v>
      </c>
      <c r="N67" s="2605">
        <f t="shared" si="0"/>
        <v>0</v>
      </c>
      <c r="O67" s="786"/>
    </row>
    <row r="68" spans="2:15">
      <c r="B68" s="788">
        <f t="shared" si="2"/>
        <v>27</v>
      </c>
      <c r="C68" s="837"/>
      <c r="D68" s="838" t="str">
        <f>D56</f>
        <v xml:space="preserve">  Transmission</v>
      </c>
      <c r="E68" s="786" t="str">
        <f>"(Worksheet A-2 ln "&amp;'SWEPCO WS A-2 Accumulated Depn'!A24&amp;".D less "&amp;'SWEPCO WS A-2 Accumulated Depn'!A46&amp;".F)"</f>
        <v>(Worksheet A-2 ln 14.D less 29.F)</v>
      </c>
      <c r="F68" s="852"/>
      <c r="G68" s="814">
        <f>+'SWEPCO WS A-2 Accumulated Depn'!E24</f>
        <v>513134432.5</v>
      </c>
      <c r="H68" s="814"/>
      <c r="I68" s="853" t="s">
        <v>211</v>
      </c>
      <c r="J68" s="854">
        <f>IF(G68=0,0,L68/G68)</f>
        <v>0.92309844767318283</v>
      </c>
      <c r="K68" s="841"/>
      <c r="L68" s="814">
        <f>+'SWEPCO WS A-2 Accumulated Depn'!G46</f>
        <v>473673598.0884096</v>
      </c>
      <c r="M68" s="2604">
        <v>473673598.0884096</v>
      </c>
      <c r="N68" s="2605">
        <f t="shared" si="0"/>
        <v>0</v>
      </c>
      <c r="O68" s="786"/>
    </row>
    <row r="69" spans="2:15">
      <c r="B69" s="788">
        <f t="shared" si="2"/>
        <v>28</v>
      </c>
      <c r="C69" s="837"/>
      <c r="D69" s="835" t="s">
        <v>20</v>
      </c>
      <c r="E69" s="786" t="str">
        <f>"(Worksheet A-2 ln "&amp;'SWEPCO WS A-2 Accumulated Depn'!A24&amp;".E)"</f>
        <v>(Worksheet A-2 ln 14.E)</v>
      </c>
      <c r="F69" s="839"/>
      <c r="G69" s="814">
        <f>-'SWEPCO WS A-2 Accumulated Depn'!F24</f>
        <v>0</v>
      </c>
      <c r="H69" s="814"/>
      <c r="I69" s="853" t="s">
        <v>211</v>
      </c>
      <c r="J69" s="806">
        <f>+J68</f>
        <v>0.92309844767318283</v>
      </c>
      <c r="K69" s="841"/>
      <c r="L69" s="814">
        <f>+J69*G69</f>
        <v>0</v>
      </c>
      <c r="M69" s="2604">
        <v>0</v>
      </c>
      <c r="N69" s="2605">
        <f t="shared" si="0"/>
        <v>0</v>
      </c>
      <c r="O69" s="786"/>
    </row>
    <row r="70" spans="2:15">
      <c r="B70" s="788">
        <f>+B69+1</f>
        <v>29</v>
      </c>
      <c r="C70" s="837"/>
      <c r="D70" s="783" t="str">
        <f>+D58</f>
        <v xml:space="preserve">  Distribution</v>
      </c>
      <c r="E70" s="786" t="str">
        <f>"(Worksheet A-2 ln "&amp;'SWEPCO WS A-2 Accumulated Depn'!A24&amp;".F)"</f>
        <v>(Worksheet A-2 ln 14.F)</v>
      </c>
      <c r="F70" s="836"/>
      <c r="G70" s="814">
        <f>+'SWEPCO WS A-2 Accumulated Depn'!G24</f>
        <v>729817777</v>
      </c>
      <c r="H70" s="814"/>
      <c r="I70" s="805" t="s">
        <v>269</v>
      </c>
      <c r="J70" s="806">
        <v>0</v>
      </c>
      <c r="K70" s="786"/>
      <c r="L70" s="814">
        <f t="shared" ref="L70:L74" si="3">+J70*G70</f>
        <v>0</v>
      </c>
      <c r="M70" s="2604">
        <v>0</v>
      </c>
      <c r="N70" s="2605">
        <f t="shared" si="0"/>
        <v>0</v>
      </c>
      <c r="O70" s="786"/>
    </row>
    <row r="71" spans="2:15">
      <c r="B71" s="788">
        <f t="shared" si="2"/>
        <v>30</v>
      </c>
      <c r="C71" s="837"/>
      <c r="D71" s="835" t="s">
        <v>17</v>
      </c>
      <c r="E71" s="786" t="str">
        <f>"(Worksheet A-2 ln "&amp;'SWEPCO WS A-2 Accumulated Depn'!A24&amp;".G)"</f>
        <v>(Worksheet A-2 ln 14.G)</v>
      </c>
      <c r="F71" s="836"/>
      <c r="G71" s="814">
        <f>-'SWEPCO WS A-2 Accumulated Depn'!H24</f>
        <v>0</v>
      </c>
      <c r="H71" s="814"/>
      <c r="I71" s="805" t="s">
        <v>269</v>
      </c>
      <c r="J71" s="806">
        <v>0</v>
      </c>
      <c r="K71" s="786"/>
      <c r="L71" s="814">
        <f t="shared" si="3"/>
        <v>0</v>
      </c>
      <c r="M71" s="2604">
        <v>0</v>
      </c>
      <c r="N71" s="2605">
        <f t="shared" si="0"/>
        <v>0</v>
      </c>
      <c r="O71" s="786"/>
    </row>
    <row r="72" spans="2:15">
      <c r="B72" s="788">
        <f t="shared" si="2"/>
        <v>31</v>
      </c>
      <c r="C72" s="837"/>
      <c r="D72" s="783" t="str">
        <f>+D60</f>
        <v xml:space="preserve">  General Plant   </v>
      </c>
      <c r="E72" s="786" t="str">
        <f>"(Worksheet A-2 ln "&amp;'SWEPCO WS A-2 Accumulated Depn'!A44&amp;".B)"</f>
        <v>(Worksheet A-2 ln 28.B)</v>
      </c>
      <c r="F72" s="836"/>
      <c r="G72" s="814">
        <f>+'SWEPCO WS A-2 Accumulated Depn'!C44</f>
        <v>167851925.5</v>
      </c>
      <c r="H72" s="814"/>
      <c r="I72" s="805" t="s">
        <v>274</v>
      </c>
      <c r="J72" s="806">
        <f>+$L$221</f>
        <v>7.7548538419814919E-2</v>
      </c>
      <c r="K72" s="786"/>
      <c r="L72" s="814">
        <f t="shared" si="3"/>
        <v>13016671.493476661</v>
      </c>
      <c r="M72" s="2604">
        <v>13016671.493476661</v>
      </c>
      <c r="N72" s="2605">
        <f t="shared" si="0"/>
        <v>0</v>
      </c>
      <c r="O72" s="786"/>
    </row>
    <row r="73" spans="2:15">
      <c r="B73" s="788">
        <f t="shared" si="2"/>
        <v>32</v>
      </c>
      <c r="C73" s="837"/>
      <c r="D73" s="835" t="s">
        <v>18</v>
      </c>
      <c r="E73" s="786" t="str">
        <f>"(Worksheet A-2 ln "&amp;'SWEPCO WS A-2 Accumulated Depn'!A44&amp;".C)"</f>
        <v>(Worksheet A-2 ln 28.C)</v>
      </c>
      <c r="F73" s="836"/>
      <c r="G73" s="814">
        <f>-'SWEPCO WS A-2 Accumulated Depn'!D44</f>
        <v>-584146</v>
      </c>
      <c r="H73" s="814"/>
      <c r="I73" s="805" t="s">
        <v>274</v>
      </c>
      <c r="J73" s="806">
        <f>+$L$221</f>
        <v>7.7548538419814919E-2</v>
      </c>
      <c r="K73" s="786"/>
      <c r="L73" s="814">
        <f t="shared" si="3"/>
        <v>-45299.668523781205</v>
      </c>
      <c r="M73" s="2604">
        <v>-45299.668523781205</v>
      </c>
      <c r="N73" s="2605">
        <f t="shared" si="0"/>
        <v>0</v>
      </c>
      <c r="O73" s="786"/>
    </row>
    <row r="74" spans="2:15" ht="18.75" thickBot="1">
      <c r="B74" s="788">
        <f t="shared" si="2"/>
        <v>33</v>
      </c>
      <c r="C74" s="837"/>
      <c r="D74" s="783" t="str">
        <f>+D62</f>
        <v xml:space="preserve">  Intangible Plant</v>
      </c>
      <c r="E74" s="786" t="str">
        <f>"(Worksheet A-2 ln "&amp;'SWEPCO WS A-2 Accumulated Depn'!A44&amp;".D)"</f>
        <v>(Worksheet A-2 ln 28.D)</v>
      </c>
      <c r="F74" s="836"/>
      <c r="G74" s="843">
        <f>+'SWEPCO WS A-2 Accumulated Depn'!E44</f>
        <v>46652687</v>
      </c>
      <c r="H74" s="814"/>
      <c r="I74" s="805" t="s">
        <v>274</v>
      </c>
      <c r="J74" s="806">
        <f>+$L$221</f>
        <v>7.7548538419814919E-2</v>
      </c>
      <c r="K74" s="786"/>
      <c r="L74" s="843">
        <f t="shared" si="3"/>
        <v>3617847.6902071</v>
      </c>
      <c r="M74" s="2604">
        <v>3617847.6902071</v>
      </c>
      <c r="N74" s="2605">
        <f t="shared" si="0"/>
        <v>0</v>
      </c>
      <c r="O74" s="786"/>
    </row>
    <row r="75" spans="2:15">
      <c r="B75" s="788">
        <f t="shared" si="2"/>
        <v>34</v>
      </c>
      <c r="C75" s="837"/>
      <c r="D75" s="783" t="s">
        <v>226</v>
      </c>
      <c r="E75" s="855" t="str">
        <f>"(sum lns "&amp;B66&amp;" to "&amp;B74&amp;")"</f>
        <v>(sum lns 25 to 33)</v>
      </c>
      <c r="F75" s="856"/>
      <c r="G75" s="814">
        <f>SUM(G66:G74)</f>
        <v>2916833157.5</v>
      </c>
      <c r="H75" s="814"/>
      <c r="I75" s="805"/>
      <c r="J75" s="786"/>
      <c r="K75" s="814"/>
      <c r="L75" s="814">
        <f>SUM(L66:L74)</f>
        <v>490262817.60356963</v>
      </c>
      <c r="M75" s="2604">
        <v>490262817.60356963</v>
      </c>
      <c r="N75" s="2605">
        <f t="shared" si="0"/>
        <v>0</v>
      </c>
      <c r="O75" s="786"/>
    </row>
    <row r="76" spans="2:15">
      <c r="B76" s="788"/>
      <c r="C76" s="789"/>
      <c r="E76" s="857"/>
      <c r="F76" s="856"/>
      <c r="G76" s="814"/>
      <c r="H76" s="814"/>
      <c r="I76" s="805"/>
      <c r="J76" s="858"/>
      <c r="K76" s="786"/>
      <c r="L76" s="814"/>
      <c r="M76" s="2604"/>
      <c r="N76" s="2605">
        <f t="shared" si="0"/>
        <v>0</v>
      </c>
      <c r="O76" s="786"/>
    </row>
    <row r="77" spans="2:15">
      <c r="B77" s="788">
        <f>+B75+1</f>
        <v>35</v>
      </c>
      <c r="C77" s="789"/>
      <c r="D77" s="783" t="s">
        <v>230</v>
      </c>
      <c r="E77" s="834"/>
      <c r="F77" s="834"/>
      <c r="G77" s="814"/>
      <c r="H77" s="814"/>
      <c r="I77" s="805"/>
      <c r="J77" s="786"/>
      <c r="K77" s="786"/>
      <c r="L77" s="814"/>
      <c r="M77" s="2604"/>
      <c r="N77" s="2605">
        <f t="shared" ref="N77:N140" si="4">+L77-M77</f>
        <v>0</v>
      </c>
      <c r="O77" s="786"/>
    </row>
    <row r="78" spans="2:15">
      <c r="B78" s="825">
        <f t="shared" ref="B78:B83" si="5">+B77+1</f>
        <v>36</v>
      </c>
      <c r="C78" s="837"/>
      <c r="D78" s="835" t="str">
        <f>+D66</f>
        <v xml:space="preserve">  Production</v>
      </c>
      <c r="E78" s="786" t="str">
        <f>" (ln "&amp;B54&amp;" + ln "&amp;B55&amp;" - ln "&amp;B66&amp;" - ln "&amp;B67&amp;")"</f>
        <v xml:space="preserve"> (ln 14 + ln 15 - ln 25 - ln 26)</v>
      </c>
      <c r="F78" s="786"/>
      <c r="G78" s="814">
        <f>G54+G55-G66-G67</f>
        <v>3165666651</v>
      </c>
      <c r="H78" s="814"/>
      <c r="I78" s="805"/>
      <c r="J78" s="859"/>
      <c r="K78" s="786"/>
      <c r="L78" s="814">
        <f>L54+L55-L66-L67</f>
        <v>0</v>
      </c>
      <c r="M78" s="2604">
        <v>0</v>
      </c>
      <c r="N78" s="2605">
        <f t="shared" si="4"/>
        <v>0</v>
      </c>
      <c r="O78" s="786"/>
    </row>
    <row r="79" spans="2:15">
      <c r="B79" s="825">
        <f t="shared" si="5"/>
        <v>37</v>
      </c>
      <c r="C79" s="837"/>
      <c r="D79" s="835" t="str">
        <f>+D68</f>
        <v xml:space="preserve">  Transmission</v>
      </c>
      <c r="E79" s="786" t="str">
        <f>" (ln "&amp;B56&amp;" + ln "&amp;B57&amp;" - ln "&amp;B68&amp;" - ln "&amp;B69&amp;")"</f>
        <v xml:space="preserve"> (ln 16 + ln 17 - ln 27 - ln 28)</v>
      </c>
      <c r="F79" s="836"/>
      <c r="G79" s="814">
        <f>+G56+G57-G68-G69</f>
        <v>1261725695</v>
      </c>
      <c r="H79" s="814"/>
      <c r="I79" s="805"/>
      <c r="J79" s="854"/>
      <c r="K79" s="786"/>
      <c r="L79" s="814">
        <f>+L56+L57-L68-L69</f>
        <v>1211852140.3736484</v>
      </c>
      <c r="M79" s="2604">
        <v>1211852140.3736484</v>
      </c>
      <c r="N79" s="2605">
        <f t="shared" si="4"/>
        <v>0</v>
      </c>
      <c r="O79" s="786"/>
    </row>
    <row r="80" spans="2:15">
      <c r="B80" s="825">
        <f>+B79+1</f>
        <v>38</v>
      </c>
      <c r="C80" s="837"/>
      <c r="D80" s="835" t="str">
        <f>+D70</f>
        <v xml:space="preserve">  Distribution</v>
      </c>
      <c r="E80" s="786" t="str">
        <f>" (ln "&amp;B58&amp;" + ln "&amp;B59&amp;" - ln "&amp;B70&amp;" - ln "&amp;B71&amp;")"</f>
        <v xml:space="preserve"> (ln 18 + ln 19 - ln 29 - ln 30)</v>
      </c>
      <c r="F80" s="786"/>
      <c r="G80" s="814">
        <f>+G58+G59-G70-G71</f>
        <v>1410501366</v>
      </c>
      <c r="H80" s="814"/>
      <c r="I80" s="805"/>
      <c r="J80" s="858"/>
      <c r="K80" s="786"/>
      <c r="L80" s="814">
        <f>+L58+L59-L70-L71</f>
        <v>0</v>
      </c>
      <c r="M80" s="2604">
        <v>0</v>
      </c>
      <c r="N80" s="2605">
        <f t="shared" si="4"/>
        <v>0</v>
      </c>
      <c r="O80" s="786"/>
    </row>
    <row r="81" spans="2:15">
      <c r="B81" s="825">
        <f t="shared" si="5"/>
        <v>39</v>
      </c>
      <c r="C81" s="837"/>
      <c r="D81" s="835" t="str">
        <f>+D72</f>
        <v xml:space="preserve">  General Plant   </v>
      </c>
      <c r="E81" s="786" t="str">
        <f>" (ln "&amp;B60&amp;" + ln "&amp;B61&amp;" - ln "&amp;B72&amp;" - ln "&amp;B73&amp;")"</f>
        <v xml:space="preserve"> (ln 20 + ln 21 - ln 31 - ln 32)</v>
      </c>
      <c r="F81" s="786"/>
      <c r="G81" s="814">
        <f>+G60+G61-G72-G73</f>
        <v>132724049</v>
      </c>
      <c r="H81" s="814"/>
      <c r="I81" s="805"/>
      <c r="J81" s="858"/>
      <c r="K81" s="786"/>
      <c r="L81" s="814">
        <f>+L60+L61-L72-L73</f>
        <v>10292556.013109898</v>
      </c>
      <c r="M81" s="2604">
        <v>10292556.013109898</v>
      </c>
      <c r="N81" s="2605">
        <f t="shared" si="4"/>
        <v>0</v>
      </c>
      <c r="O81" s="786"/>
    </row>
    <row r="82" spans="2:15" ht="18.75" thickBot="1">
      <c r="B82" s="825">
        <f t="shared" si="5"/>
        <v>40</v>
      </c>
      <c r="C82" s="837"/>
      <c r="D82" s="835" t="str">
        <f>+D74</f>
        <v xml:space="preserve">  Intangible Plant</v>
      </c>
      <c r="E82" s="786" t="str">
        <f>" (ln "&amp;B62&amp;" - ln "&amp;B74&amp;")"</f>
        <v xml:space="preserve"> (ln 22 - ln 33)</v>
      </c>
      <c r="F82" s="786"/>
      <c r="G82" s="843">
        <f>+G62-G74</f>
        <v>50175112</v>
      </c>
      <c r="H82" s="814"/>
      <c r="I82" s="805"/>
      <c r="J82" s="858"/>
      <c r="K82" s="786"/>
      <c r="L82" s="843">
        <f>+L62-L74</f>
        <v>3891006.6006505168</v>
      </c>
      <c r="M82" s="2604">
        <v>3891006.6006505168</v>
      </c>
      <c r="N82" s="2605">
        <f t="shared" si="4"/>
        <v>0</v>
      </c>
      <c r="O82" s="786"/>
    </row>
    <row r="83" spans="2:15">
      <c r="B83" s="825">
        <f t="shared" si="5"/>
        <v>41</v>
      </c>
      <c r="C83" s="837"/>
      <c r="D83" s="835" t="s">
        <v>225</v>
      </c>
      <c r="E83" s="835" t="str">
        <f>"(sum lns "&amp;B78&amp;" to "&amp;B82&amp;")"</f>
        <v>(sum lns 36 to 40)</v>
      </c>
      <c r="F83" s="786"/>
      <c r="G83" s="814">
        <f>SUM(G78:G82)</f>
        <v>6020792873</v>
      </c>
      <c r="H83" s="814"/>
      <c r="I83" s="826" t="s">
        <v>867</v>
      </c>
      <c r="J83" s="845">
        <f>IF(G83=0,0,L83/G83)</f>
        <v>0.2036335959148364</v>
      </c>
      <c r="K83" s="786"/>
      <c r="L83" s="814">
        <f>SUM(L79:L82)</f>
        <v>1226035702.9874089</v>
      </c>
      <c r="M83" s="2604">
        <v>1226035702.9874089</v>
      </c>
      <c r="N83" s="2605">
        <f t="shared" si="4"/>
        <v>0</v>
      </c>
      <c r="O83" s="786"/>
    </row>
    <row r="84" spans="2:15">
      <c r="B84" s="788"/>
      <c r="C84" s="789"/>
      <c r="D84" s="783"/>
      <c r="E84" s="786"/>
      <c r="F84" s="786"/>
      <c r="G84" s="814"/>
      <c r="H84" s="814"/>
      <c r="J84" s="860"/>
      <c r="K84" s="786"/>
      <c r="L84" s="814"/>
      <c r="M84" s="2604"/>
      <c r="N84" s="2605">
        <f t="shared" si="4"/>
        <v>0</v>
      </c>
      <c r="O84" s="786"/>
    </row>
    <row r="85" spans="2:15">
      <c r="B85" s="788"/>
      <c r="C85" s="789"/>
      <c r="G85" s="791"/>
      <c r="H85" s="791"/>
      <c r="I85" s="791"/>
      <c r="J85" s="791"/>
      <c r="K85" s="791"/>
      <c r="L85" s="791"/>
      <c r="M85" s="2604"/>
      <c r="N85" s="2605">
        <f t="shared" si="4"/>
        <v>0</v>
      </c>
      <c r="O85" s="786"/>
    </row>
    <row r="86" spans="2:15">
      <c r="B86" s="788">
        <f>+B83+1</f>
        <v>42</v>
      </c>
      <c r="C86" s="789"/>
      <c r="D86" s="783" t="s">
        <v>400</v>
      </c>
      <c r="E86" s="786" t="s">
        <v>178</v>
      </c>
      <c r="F86" s="805"/>
      <c r="G86" s="791"/>
      <c r="H86" s="791"/>
      <c r="I86" s="791"/>
      <c r="J86" s="791"/>
      <c r="K86" s="791"/>
      <c r="L86" s="791"/>
      <c r="M86" s="2604"/>
      <c r="N86" s="2605">
        <f t="shared" si="4"/>
        <v>0</v>
      </c>
      <c r="O86" s="786"/>
    </row>
    <row r="87" spans="2:15">
      <c r="B87" s="825">
        <f t="shared" ref="B87:B92" si="6">+B86+1</f>
        <v>43</v>
      </c>
      <c r="C87" s="837"/>
      <c r="D87" s="835" t="s">
        <v>332</v>
      </c>
      <c r="E87" s="786" t="s">
        <v>35</v>
      </c>
      <c r="F87" s="786"/>
      <c r="G87" s="814">
        <v>0</v>
      </c>
      <c r="H87" s="814"/>
      <c r="I87" s="805" t="s">
        <v>269</v>
      </c>
      <c r="J87" s="806"/>
      <c r="K87" s="786"/>
      <c r="L87" s="814">
        <v>0</v>
      </c>
      <c r="M87" s="2604">
        <v>0</v>
      </c>
      <c r="N87" s="2605">
        <f t="shared" si="4"/>
        <v>0</v>
      </c>
      <c r="O87" s="786"/>
    </row>
    <row r="88" spans="2:15">
      <c r="B88" s="825">
        <f t="shared" si="6"/>
        <v>44</v>
      </c>
      <c r="C88" s="837"/>
      <c r="D88" s="835" t="s">
        <v>333</v>
      </c>
      <c r="E88" s="786" t="str">
        <f>"(Worksheet C, ln "&amp;'SWEPCO WS C ADIT &amp; ADITC'!A23&amp;" C &amp; ln "&amp;'SWEPCO WS C ADIT &amp; ADITC'!A27&amp;" J)"</f>
        <v>(Worksheet C, ln 4 C &amp; ln 8 J)</v>
      </c>
      <c r="F88" s="836"/>
      <c r="G88" s="814">
        <f>'SWEPCO WS C ADIT &amp; ADITC'!D23</f>
        <v>-1373094765.44625</v>
      </c>
      <c r="H88" s="814"/>
      <c r="I88" s="805" t="s">
        <v>271</v>
      </c>
      <c r="J88" s="806"/>
      <c r="K88" s="786"/>
      <c r="L88" s="814">
        <f>'SWEPCO WS C ADIT &amp; ADITC'!J27</f>
        <v>-257813045.63573146</v>
      </c>
      <c r="M88" s="2604">
        <v>-257138135.45070955</v>
      </c>
      <c r="N88" s="2605">
        <f t="shared" si="4"/>
        <v>-674910.18502190709</v>
      </c>
      <c r="O88" s="786"/>
    </row>
    <row r="89" spans="2:15">
      <c r="B89" s="825">
        <f t="shared" si="6"/>
        <v>45</v>
      </c>
      <c r="C89" s="837"/>
      <c r="D89" s="835" t="s">
        <v>334</v>
      </c>
      <c r="E89" s="786" t="str">
        <f>"(Worksheet C, ln "&amp;'SWEPCO WS C ADIT &amp; ADITC'!A36&amp;" C &amp; ln "&amp;'SWEPCO WS C ADIT &amp; ADITC'!A38&amp;" J)"</f>
        <v>(Worksheet C, ln 12 C &amp; ln 14 J)</v>
      </c>
      <c r="F89" s="836"/>
      <c r="G89" s="814">
        <f>'SWEPCO WS C ADIT &amp; ADITC'!D36</f>
        <v>-52015841.890000008</v>
      </c>
      <c r="H89" s="814"/>
      <c r="I89" s="805" t="s">
        <v>271</v>
      </c>
      <c r="J89" s="806"/>
      <c r="K89" s="786"/>
      <c r="L89" s="814">
        <f>'SWEPCO WS C ADIT &amp; ADITC'!J38</f>
        <v>-2158204.7214967515</v>
      </c>
      <c r="M89" s="2604">
        <v>-1971375.3760877405</v>
      </c>
      <c r="N89" s="2605">
        <f t="shared" si="4"/>
        <v>-186829.345409011</v>
      </c>
      <c r="O89" s="786"/>
    </row>
    <row r="90" spans="2:15">
      <c r="B90" s="825">
        <f t="shared" si="6"/>
        <v>46</v>
      </c>
      <c r="C90" s="837"/>
      <c r="D90" s="835" t="s">
        <v>335</v>
      </c>
      <c r="E90" s="786" t="str">
        <f>"(Worksheet C, ln "&amp;'SWEPCO WS C ADIT &amp; ADITC'!A48&amp;" C &amp; ln "&amp;'SWEPCO WS C ADIT &amp; ADITC'!A52&amp;" J)"</f>
        <v>(Worksheet C, ln 18 C &amp; ln 22 J)</v>
      </c>
      <c r="F90" s="836"/>
      <c r="G90" s="814">
        <f>+'SWEPCO WS C ADIT &amp; ADITC'!D48</f>
        <v>131411877.28749998</v>
      </c>
      <c r="H90" s="814"/>
      <c r="I90" s="805" t="s">
        <v>271</v>
      </c>
      <c r="J90" s="806"/>
      <c r="K90" s="786"/>
      <c r="L90" s="814">
        <f>+'SWEPCO WS C ADIT &amp; ADITC'!J52</f>
        <v>2354221.5378216025</v>
      </c>
      <c r="M90" s="2604">
        <v>2354221.5378216025</v>
      </c>
      <c r="N90" s="2605">
        <f t="shared" si="4"/>
        <v>0</v>
      </c>
      <c r="O90" s="786"/>
    </row>
    <row r="91" spans="2:15" ht="18.75" thickBot="1">
      <c r="B91" s="825">
        <f t="shared" si="6"/>
        <v>47</v>
      </c>
      <c r="C91" s="837"/>
      <c r="D91" s="658" t="s">
        <v>276</v>
      </c>
      <c r="E91" s="786" t="str">
        <f>"(Worksheet C, ln "&amp;'SWEPCO WS C ADIT &amp; ADITC'!A62&amp;" C &amp; ln "&amp;'SWEPCO WS C ADIT &amp; ADITC'!A64&amp;" J)"</f>
        <v>(Worksheet C, ln 26 C &amp; ln 28 J)</v>
      </c>
      <c r="F91" s="682"/>
      <c r="G91" s="843">
        <f>'SWEPCO WS C ADIT &amp; ADITC'!D62</f>
        <v>5195140.5</v>
      </c>
      <c r="H91" s="814"/>
      <c r="I91" s="805" t="s">
        <v>271</v>
      </c>
      <c r="J91" s="806"/>
      <c r="K91" s="786"/>
      <c r="L91" s="843">
        <f>'SWEPCO WS C ADIT &amp; ADITC'!J64</f>
        <v>567090.92837088299</v>
      </c>
      <c r="M91" s="2604">
        <v>567090.92837088299</v>
      </c>
      <c r="N91" s="2605">
        <f t="shared" si="4"/>
        <v>0</v>
      </c>
      <c r="O91" s="786"/>
    </row>
    <row r="92" spans="2:15">
      <c r="B92" s="825">
        <f t="shared" si="6"/>
        <v>48</v>
      </c>
      <c r="C92" s="837"/>
      <c r="D92" s="835" t="s">
        <v>239</v>
      </c>
      <c r="E92" s="835" t="str">
        <f>"(sum lns "&amp;B87&amp;" to "&amp;B91&amp;")"</f>
        <v>(sum lns 43 to 47)</v>
      </c>
      <c r="F92" s="786"/>
      <c r="G92" s="814">
        <f>SUM(G87:G91)</f>
        <v>-1288503589.5487502</v>
      </c>
      <c r="H92" s="791"/>
      <c r="I92" s="805"/>
      <c r="J92" s="819"/>
      <c r="K92" s="786"/>
      <c r="L92" s="814">
        <f>SUM(L87:L91)</f>
        <v>-257049937.89103574</v>
      </c>
      <c r="M92" s="2604">
        <v>-256188198.36060482</v>
      </c>
      <c r="N92" s="2605">
        <f t="shared" si="4"/>
        <v>-861739.53043091297</v>
      </c>
    </row>
    <row r="93" spans="2:15">
      <c r="B93" s="788"/>
      <c r="C93" s="789"/>
      <c r="D93" s="835"/>
      <c r="E93" s="786"/>
      <c r="F93" s="786"/>
      <c r="G93" s="814"/>
      <c r="H93" s="791"/>
      <c r="I93" s="805"/>
      <c r="J93" s="858"/>
      <c r="K93" s="786"/>
      <c r="L93" s="814"/>
      <c r="M93" s="2604"/>
      <c r="N93" s="2605">
        <f t="shared" si="4"/>
        <v>0</v>
      </c>
    </row>
    <row r="94" spans="2:15">
      <c r="B94" s="788">
        <f>+B92+1</f>
        <v>49</v>
      </c>
      <c r="C94" s="789"/>
      <c r="D94" s="835" t="s">
        <v>345</v>
      </c>
      <c r="E94" s="786" t="str">
        <f>"(Worksheet A-1 ln "&amp;'SWEPCO WS A-1 - Plant'!A53&amp;".F)"</f>
        <v>(Worksheet A-1 ln 30.F)</v>
      </c>
      <c r="F94" s="786"/>
      <c r="G94" s="814">
        <f>+'SWEPCO WS A-1 - Plant'!I53</f>
        <v>1281768</v>
      </c>
      <c r="H94" s="791"/>
      <c r="I94" s="805" t="s">
        <v>271</v>
      </c>
      <c r="J94" s="806"/>
      <c r="K94" s="786"/>
      <c r="L94" s="814">
        <f>+G94</f>
        <v>1281768</v>
      </c>
      <c r="M94" s="2604">
        <v>1281768</v>
      </c>
      <c r="N94" s="2605">
        <f t="shared" si="4"/>
        <v>0</v>
      </c>
    </row>
    <row r="95" spans="2:15">
      <c r="B95" s="788"/>
      <c r="C95" s="789"/>
      <c r="D95" s="835"/>
      <c r="E95" s="786"/>
      <c r="F95" s="786"/>
      <c r="G95" s="814"/>
      <c r="H95" s="791"/>
      <c r="I95" s="805"/>
      <c r="J95" s="806"/>
      <c r="K95" s="786"/>
      <c r="L95" s="814"/>
      <c r="M95" s="2604"/>
      <c r="N95" s="2605">
        <f t="shared" si="4"/>
        <v>0</v>
      </c>
    </row>
    <row r="96" spans="2:15">
      <c r="B96" s="788">
        <f>+B94+1</f>
        <v>50</v>
      </c>
      <c r="C96" s="789"/>
      <c r="D96" s="835" t="s">
        <v>869</v>
      </c>
      <c r="E96" s="786" t="str">
        <f>"(Worksheet S ln "&amp;'SWEPCO WS S Reg Assets'!B45&amp;" cols. G and J) (Note W)"</f>
        <v>(Worksheet S ln 10 cols. G and J) (Note W)</v>
      </c>
      <c r="F96" s="786"/>
      <c r="G96" s="814">
        <f>+'SWEPCO WS S Reg Assets'!K45</f>
        <v>0</v>
      </c>
      <c r="H96" s="791"/>
      <c r="I96" s="805" t="s">
        <v>271</v>
      </c>
      <c r="J96" s="806"/>
      <c r="K96" s="786"/>
      <c r="L96" s="814">
        <f>+'SWEPCO WS S Reg Assets'!N45</f>
        <v>0</v>
      </c>
      <c r="M96" s="2604">
        <v>0</v>
      </c>
      <c r="N96" s="2605">
        <f t="shared" si="4"/>
        <v>0</v>
      </c>
    </row>
    <row r="97" spans="2:14">
      <c r="B97" s="788"/>
      <c r="C97" s="789"/>
      <c r="D97" s="835"/>
      <c r="E97" s="786"/>
      <c r="F97" s="786"/>
      <c r="G97" s="814"/>
      <c r="H97" s="791"/>
      <c r="I97" s="805"/>
      <c r="J97" s="806"/>
      <c r="K97" s="786"/>
      <c r="L97" s="814"/>
      <c r="M97" s="2604"/>
      <c r="N97" s="2605">
        <f t="shared" si="4"/>
        <v>0</v>
      </c>
    </row>
    <row r="98" spans="2:14">
      <c r="B98" s="825">
        <f>+B96+1</f>
        <v>51</v>
      </c>
      <c r="C98" s="837"/>
      <c r="D98" s="835" t="s">
        <v>1285</v>
      </c>
      <c r="E98" s="786" t="str">
        <f>"(Worksheet R, ln "&amp;'SWEPCO WS R Unfunded Reserves'!A18&amp;" F)"</f>
        <v>(Worksheet R, ln 8 F)</v>
      </c>
      <c r="F98" s="836"/>
      <c r="G98" s="814">
        <f>-'SWEPCO WS R Unfunded Reserves'!H18</f>
        <v>-233633.09049999999</v>
      </c>
      <c r="H98" s="791"/>
      <c r="I98" s="805" t="s">
        <v>274</v>
      </c>
      <c r="J98" s="806">
        <f>+$L$221</f>
        <v>7.7548538419814919E-2</v>
      </c>
      <c r="K98" s="786"/>
      <c r="L98" s="814">
        <f>+J98*G98</f>
        <v>-18117.904694779347</v>
      </c>
      <c r="M98" s="2604">
        <v>-18117.904694779347</v>
      </c>
      <c r="N98" s="2605">
        <f t="shared" si="4"/>
        <v>0</v>
      </c>
    </row>
    <row r="99" spans="2:14">
      <c r="B99" s="788"/>
      <c r="C99" s="789"/>
      <c r="D99" s="835"/>
      <c r="E99" s="786"/>
      <c r="F99" s="786"/>
      <c r="G99" s="814"/>
      <c r="H99" s="791"/>
      <c r="I99" s="805"/>
      <c r="J99" s="806"/>
      <c r="K99" s="786"/>
      <c r="L99" s="814"/>
      <c r="M99" s="2604"/>
      <c r="N99" s="2605">
        <f t="shared" si="4"/>
        <v>0</v>
      </c>
    </row>
    <row r="100" spans="2:14">
      <c r="B100" s="788">
        <f>+B98+1</f>
        <v>52</v>
      </c>
      <c r="C100" s="789"/>
      <c r="D100" s="835" t="s">
        <v>240</v>
      </c>
      <c r="E100" s="786" t="s">
        <v>145</v>
      </c>
      <c r="F100" s="786"/>
      <c r="G100" s="814"/>
      <c r="H100" s="791"/>
      <c r="I100" s="805"/>
      <c r="J100" s="786"/>
      <c r="K100" s="786"/>
      <c r="L100" s="814"/>
      <c r="M100" s="2604"/>
      <c r="N100" s="2605">
        <f t="shared" si="4"/>
        <v>0</v>
      </c>
    </row>
    <row r="101" spans="2:14">
      <c r="B101" s="825">
        <f t="shared" ref="B101:B109" si="7">+B100+1</f>
        <v>53</v>
      </c>
      <c r="C101" s="837"/>
      <c r="D101" s="835" t="s">
        <v>344</v>
      </c>
      <c r="E101" s="662" t="str">
        <f>"(1/8 * (ln "&amp;B134&amp;" - Ln "&amp;B133&amp;")) (Note G)"</f>
        <v>(1/8 * (ln 70 - Ln 69)) (Note G)</v>
      </c>
      <c r="G101" s="814">
        <f>(+G134-G133)/8</f>
        <v>3324202.581125</v>
      </c>
      <c r="H101" s="786"/>
      <c r="I101" s="805"/>
      <c r="J101" s="858"/>
      <c r="K101" s="786"/>
      <c r="L101" s="814">
        <f>+L134/8</f>
        <v>3156884.8291388503</v>
      </c>
      <c r="M101" s="2604">
        <v>3156884.8291388503</v>
      </c>
      <c r="N101" s="2605">
        <f t="shared" si="4"/>
        <v>0</v>
      </c>
    </row>
    <row r="102" spans="2:14">
      <c r="B102" s="825">
        <f t="shared" si="7"/>
        <v>54</v>
      </c>
      <c r="C102" s="837"/>
      <c r="D102" s="835" t="s">
        <v>405</v>
      </c>
      <c r="E102" s="786" t="str">
        <f>"(Worksheet D, pg 1 ln "&amp;'SWEPCO WS D Working Capital'!A16&amp;" E)"</f>
        <v>(Worksheet D, pg 1 ln 1 E)</v>
      </c>
      <c r="F102" s="836"/>
      <c r="G102" s="814">
        <f>+'SWEPCO WS D Working Capital'!G16</f>
        <v>137479.5</v>
      </c>
      <c r="H102" s="791"/>
      <c r="I102" s="805" t="s">
        <v>262</v>
      </c>
      <c r="J102" s="806">
        <f>+$L$211</f>
        <v>0.94966680041216833</v>
      </c>
      <c r="K102" s="786"/>
      <c r="L102" s="814">
        <f>+J102*G102</f>
        <v>130559.7168872647</v>
      </c>
      <c r="M102" s="2604">
        <v>130559.7168872647</v>
      </c>
      <c r="N102" s="2605">
        <f t="shared" si="4"/>
        <v>0</v>
      </c>
    </row>
    <row r="103" spans="2:14">
      <c r="B103" s="825">
        <f t="shared" si="7"/>
        <v>55</v>
      </c>
      <c r="C103" s="837"/>
      <c r="D103" s="835" t="s">
        <v>406</v>
      </c>
      <c r="E103" s="786" t="str">
        <f>"(Worksheet D, pg 1 ln "&amp;'SWEPCO WS D Working Capital'!A17&amp;" E)"</f>
        <v>(Worksheet D, pg 1 ln 2 E)</v>
      </c>
      <c r="F103" s="836"/>
      <c r="G103" s="814">
        <f>+'SWEPCO WS D Working Capital'!G17</f>
        <v>93045.5</v>
      </c>
      <c r="H103" s="791"/>
      <c r="I103" s="805" t="s">
        <v>274</v>
      </c>
      <c r="J103" s="806">
        <f>+$L$221</f>
        <v>7.7548538419814919E-2</v>
      </c>
      <c r="K103" s="786"/>
      <c r="L103" s="814">
        <f>+J103*G103</f>
        <v>7215.5425315408893</v>
      </c>
      <c r="M103" s="2604">
        <v>7215.5425315408893</v>
      </c>
      <c r="N103" s="2605">
        <f t="shared" si="4"/>
        <v>0</v>
      </c>
    </row>
    <row r="104" spans="2:14">
      <c r="B104" s="825">
        <f t="shared" si="7"/>
        <v>56</v>
      </c>
      <c r="C104" s="837"/>
      <c r="D104" s="835" t="s">
        <v>199</v>
      </c>
      <c r="E104" s="786" t="str">
        <f>"(Worksheet D, pg 1 ln "&amp;'SWEPCO WS D Working Capital'!A18&amp;" E)"</f>
        <v>(Worksheet D, pg 1 ln 3 E)</v>
      </c>
      <c r="F104" s="836"/>
      <c r="G104" s="814">
        <f>+'SWEPCO WS D Working Capital'!G18</f>
        <v>0</v>
      </c>
      <c r="H104" s="791"/>
      <c r="I104" s="823" t="s">
        <v>865</v>
      </c>
      <c r="J104" s="806">
        <f>+$J$63</f>
        <v>0.1920306930200528</v>
      </c>
      <c r="K104" s="786"/>
      <c r="L104" s="814">
        <f>+J104*G104</f>
        <v>0</v>
      </c>
      <c r="M104" s="2604">
        <v>0</v>
      </c>
      <c r="N104" s="2605">
        <f t="shared" si="4"/>
        <v>0</v>
      </c>
    </row>
    <row r="105" spans="2:14">
      <c r="B105" s="825">
        <f t="shared" si="7"/>
        <v>57</v>
      </c>
      <c r="C105" s="837"/>
      <c r="D105" s="835" t="s">
        <v>349</v>
      </c>
      <c r="E105" s="786" t="str">
        <f>"(Worksheet D, pg 1 ln "&amp;'SWEPCO WS D Working Capital'!A51&amp;" G)"</f>
        <v>(Worksheet D, pg 1 ln 29 G)</v>
      </c>
      <c r="F105" s="836"/>
      <c r="G105" s="814">
        <f>+'SWEPCO WS D Working Capital'!J51</f>
        <v>93040327.5</v>
      </c>
      <c r="H105" s="791"/>
      <c r="I105" s="805" t="s">
        <v>274</v>
      </c>
      <c r="J105" s="806">
        <f>+$L$221</f>
        <v>7.7548538419814919E-2</v>
      </c>
      <c r="K105" s="786"/>
      <c r="L105" s="814">
        <f>+J105*G105</f>
        <v>7215141.4117259122</v>
      </c>
      <c r="M105" s="2604">
        <v>7215141.4117259122</v>
      </c>
      <c r="N105" s="2605">
        <f t="shared" si="4"/>
        <v>0</v>
      </c>
    </row>
    <row r="106" spans="2:14">
      <c r="B106" s="825">
        <f t="shared" si="7"/>
        <v>58</v>
      </c>
      <c r="C106" s="837"/>
      <c r="D106" s="835" t="s">
        <v>350</v>
      </c>
      <c r="E106" s="786" t="str">
        <f>"(Worksheet D, pg 1 ln "&amp;'SWEPCO WS D Working Capital'!A51&amp;" F)"</f>
        <v>(Worksheet D, pg 1 ln 29 F)</v>
      </c>
      <c r="F106" s="836"/>
      <c r="G106" s="814">
        <f>+'SWEPCO WS D Working Capital'!I51</f>
        <v>10960851</v>
      </c>
      <c r="H106" s="791"/>
      <c r="I106" s="823" t="s">
        <v>865</v>
      </c>
      <c r="J106" s="806">
        <f>+$J$63</f>
        <v>0.1920306930200528</v>
      </c>
      <c r="K106" s="786"/>
      <c r="L106" s="814">
        <f>+G106*J106</f>
        <v>2104819.8136195387</v>
      </c>
      <c r="M106" s="2604">
        <v>2104819.8136195387</v>
      </c>
      <c r="N106" s="2605">
        <f t="shared" si="4"/>
        <v>0</v>
      </c>
    </row>
    <row r="107" spans="2:14">
      <c r="B107" s="825">
        <f t="shared" si="7"/>
        <v>59</v>
      </c>
      <c r="C107" s="837"/>
      <c r="D107" s="835" t="s">
        <v>391</v>
      </c>
      <c r="E107" s="786" t="str">
        <f>"(Worksheet D, pg 1 ln "&amp;'SWEPCO WS D Working Capital'!A51&amp;" E)"</f>
        <v>(Worksheet D, pg 1 ln 29 E)</v>
      </c>
      <c r="F107" s="836"/>
      <c r="G107" s="814">
        <f>+'SWEPCO WS D Working Capital'!G51</f>
        <v>0</v>
      </c>
      <c r="H107" s="791"/>
      <c r="I107" s="805" t="s">
        <v>271</v>
      </c>
      <c r="J107" s="806">
        <v>1</v>
      </c>
      <c r="K107" s="786"/>
      <c r="L107" s="814">
        <f>+G107</f>
        <v>0</v>
      </c>
      <c r="M107" s="2604">
        <v>0</v>
      </c>
      <c r="N107" s="2605">
        <f t="shared" si="4"/>
        <v>0</v>
      </c>
    </row>
    <row r="108" spans="2:14" ht="18.75" thickBot="1">
      <c r="B108" s="825">
        <f t="shared" si="7"/>
        <v>60</v>
      </c>
      <c r="C108" s="837"/>
      <c r="D108" s="835" t="s">
        <v>247</v>
      </c>
      <c r="E108" s="786" t="str">
        <f>"(Worksheet D, pg 1 ln "&amp;'SWEPCO WS D Working Capital'!A51&amp;" D)"</f>
        <v>(Worksheet D, pg 1 ln 29 D)</v>
      </c>
      <c r="F108" s="836"/>
      <c r="G108" s="843">
        <f>+'SWEPCO WS D Working Capital'!E51</f>
        <v>-73210720</v>
      </c>
      <c r="H108" s="814"/>
      <c r="I108" s="805" t="s">
        <v>269</v>
      </c>
      <c r="J108" s="806">
        <v>0</v>
      </c>
      <c r="K108" s="786"/>
      <c r="L108" s="843">
        <f>+G108*J108</f>
        <v>0</v>
      </c>
      <c r="M108" s="2604">
        <v>0</v>
      </c>
      <c r="N108" s="2605">
        <f t="shared" si="4"/>
        <v>0</v>
      </c>
    </row>
    <row r="109" spans="2:14">
      <c r="B109" s="825">
        <f t="shared" si="7"/>
        <v>61</v>
      </c>
      <c r="C109" s="837"/>
      <c r="D109" s="835" t="s">
        <v>224</v>
      </c>
      <c r="E109" s="835" t="str">
        <f>"(sum lns "&amp;B101&amp;" to "&amp;B108&amp;")"</f>
        <v>(sum lns 53 to 60)</v>
      </c>
      <c r="F109" s="655"/>
      <c r="G109" s="814">
        <f>SUM(G101:G108)</f>
        <v>34345186.081125006</v>
      </c>
      <c r="H109" s="655"/>
      <c r="I109" s="789"/>
      <c r="J109" s="655"/>
      <c r="K109" s="655"/>
      <c r="L109" s="814">
        <f>SUM(L101:L108)</f>
        <v>12614621.313903108</v>
      </c>
      <c r="M109" s="2604">
        <v>12614621.313903108</v>
      </c>
      <c r="N109" s="2605">
        <f t="shared" si="4"/>
        <v>0</v>
      </c>
    </row>
    <row r="110" spans="2:14">
      <c r="B110" s="788"/>
      <c r="C110" s="789"/>
      <c r="D110" s="835"/>
      <c r="E110" s="655"/>
      <c r="F110" s="655"/>
      <c r="G110" s="814"/>
      <c r="H110" s="655"/>
      <c r="I110" s="789"/>
      <c r="J110" s="655"/>
      <c r="K110" s="655"/>
      <c r="L110" s="814"/>
      <c r="M110" s="2604"/>
      <c r="N110" s="2605">
        <f t="shared" si="4"/>
        <v>0</v>
      </c>
    </row>
    <row r="111" spans="2:14">
      <c r="B111" s="788">
        <f>+B109+1</f>
        <v>62</v>
      </c>
      <c r="C111" s="789"/>
      <c r="D111" s="835" t="s">
        <v>213</v>
      </c>
      <c r="E111" s="783" t="str">
        <f>"(Note H) (Worksheet E, ln "&amp;'SWEPCO WS E IPP Credits'!A22&amp;" B)"</f>
        <v>(Note H) (Worksheet E, ln 8 B)</v>
      </c>
      <c r="F111" s="655"/>
      <c r="G111" s="814">
        <f>IF(G63=0,0,-'SWEPCO WS E IPP Credits'!C22)</f>
        <v>-25201023.5</v>
      </c>
      <c r="H111" s="655"/>
      <c r="I111" s="861" t="s">
        <v>271</v>
      </c>
      <c r="J111" s="806">
        <v>1</v>
      </c>
      <c r="K111" s="786"/>
      <c r="L111" s="814">
        <f>+J111*G111</f>
        <v>-25201023.5</v>
      </c>
      <c r="M111" s="2604">
        <v>-25201023.5</v>
      </c>
      <c r="N111" s="2605">
        <f t="shared" si="4"/>
        <v>0</v>
      </c>
    </row>
    <row r="112" spans="2:14" ht="18.75" thickBot="1">
      <c r="D112" s="658"/>
      <c r="E112" s="786"/>
      <c r="F112" s="786"/>
      <c r="G112" s="843"/>
      <c r="H112" s="786"/>
      <c r="I112" s="805"/>
      <c r="J112" s="786"/>
      <c r="K112" s="786"/>
      <c r="L112" s="843"/>
      <c r="M112" s="2604"/>
      <c r="N112" s="2605">
        <f t="shared" si="4"/>
        <v>0</v>
      </c>
    </row>
    <row r="113" spans="2:15" ht="18.75" thickBot="1">
      <c r="B113" s="788">
        <f>+B111+1</f>
        <v>63</v>
      </c>
      <c r="C113" s="789"/>
      <c r="D113" s="783" t="str">
        <f>"RATE BASE  (sum lns "&amp;B83&amp;", "&amp;B92&amp;", "&amp;B94&amp;", "&amp;B96&amp;", "&amp;B98&amp;", "&amp;B109&amp;", "&amp;B111&amp;")"</f>
        <v>RATE BASE  (sum lns 41, 48, 49, 50, 51, 61, 62)</v>
      </c>
      <c r="E113" s="786"/>
      <c r="F113" s="786"/>
      <c r="G113" s="862">
        <f>+G83+G92+G94+G96+G98+G109+G111</f>
        <v>4742481580.9418755</v>
      </c>
      <c r="H113" s="786"/>
      <c r="I113" s="786"/>
      <c r="J113" s="858"/>
      <c r="K113" s="786"/>
      <c r="L113" s="862">
        <f>+L83+L92+L94+L96+L98+L109+L111</f>
        <v>957663013.00558138</v>
      </c>
      <c r="M113" s="2604">
        <v>958524752.53601241</v>
      </c>
      <c r="N113" s="2605">
        <f t="shared" si="4"/>
        <v>-861739.53043103218</v>
      </c>
    </row>
    <row r="114" spans="2:15" ht="18.75" thickTop="1">
      <c r="B114" s="788"/>
      <c r="C114" s="791"/>
      <c r="D114" s="791"/>
      <c r="E114" s="791"/>
      <c r="F114" s="791"/>
      <c r="G114" s="791"/>
      <c r="H114" s="791"/>
      <c r="I114" s="782"/>
      <c r="J114" s="782"/>
      <c r="K114" s="782"/>
      <c r="M114" s="2604"/>
      <c r="N114" s="2605">
        <f t="shared" si="4"/>
        <v>0</v>
      </c>
    </row>
    <row r="115" spans="2:15">
      <c r="B115" s="788"/>
      <c r="C115" s="789"/>
      <c r="D115" s="783"/>
      <c r="E115" s="786"/>
      <c r="F115" s="786"/>
      <c r="G115" s="786"/>
      <c r="H115" s="786"/>
      <c r="I115" s="786"/>
      <c r="J115" s="786"/>
      <c r="K115" s="786"/>
      <c r="L115" s="786"/>
      <c r="M115" s="2604"/>
      <c r="N115" s="2605">
        <f t="shared" si="4"/>
        <v>0</v>
      </c>
    </row>
    <row r="116" spans="2:15">
      <c r="B116" s="788"/>
      <c r="C116" s="789"/>
      <c r="D116" s="783"/>
      <c r="E116" s="786"/>
      <c r="F116" s="805" t="str">
        <f>F42</f>
        <v xml:space="preserve">AEP West SPP Member Operating Companies </v>
      </c>
      <c r="G116" s="805"/>
      <c r="H116" s="786"/>
      <c r="I116" s="786"/>
      <c r="J116" s="786"/>
      <c r="K116" s="786"/>
      <c r="L116" s="786"/>
      <c r="M116" s="2604"/>
      <c r="N116" s="2605">
        <f t="shared" si="4"/>
        <v>0</v>
      </c>
    </row>
    <row r="117" spans="2:15">
      <c r="B117" s="788"/>
      <c r="C117" s="789"/>
      <c r="D117" s="783"/>
      <c r="E117" s="786"/>
      <c r="F117" s="805" t="str">
        <f>F43</f>
        <v>Transmission Cost of Service Formula Rate</v>
      </c>
      <c r="G117" s="805"/>
      <c r="H117" s="786"/>
      <c r="I117" s="786"/>
      <c r="J117" s="786"/>
      <c r="K117" s="786"/>
      <c r="L117" s="786"/>
      <c r="M117" s="2604"/>
      <c r="N117" s="2605">
        <f t="shared" si="4"/>
        <v>0</v>
      </c>
    </row>
    <row r="118" spans="2:15">
      <c r="B118" s="788"/>
      <c r="C118" s="789"/>
      <c r="E118" s="786"/>
      <c r="F118" s="805" t="str">
        <f>F44</f>
        <v>Utilizing Actual / Projected Cost Data for the 2018 Rate Year</v>
      </c>
      <c r="G118" s="786"/>
      <c r="H118" s="786"/>
      <c r="I118" s="786"/>
      <c r="J118" s="786"/>
      <c r="K118" s="786"/>
      <c r="L118" s="786"/>
      <c r="M118" s="2604"/>
      <c r="N118" s="2605">
        <f t="shared" si="4"/>
        <v>0</v>
      </c>
    </row>
    <row r="119" spans="2:15">
      <c r="B119" s="788"/>
      <c r="C119" s="789"/>
      <c r="E119" s="786"/>
      <c r="F119" s="805"/>
      <c r="G119" s="786"/>
      <c r="H119" s="786"/>
      <c r="I119" s="786"/>
      <c r="J119" s="786"/>
      <c r="K119" s="786"/>
      <c r="L119" s="786"/>
      <c r="M119" s="2604"/>
      <c r="N119" s="2605">
        <f t="shared" si="4"/>
        <v>0</v>
      </c>
    </row>
    <row r="120" spans="2:15">
      <c r="B120" s="788"/>
      <c r="C120" s="789"/>
      <c r="E120" s="863"/>
      <c r="F120" s="805" t="str">
        <f>F46</f>
        <v>SOUTHWESTERN ELECTRIC POWER COMPANY</v>
      </c>
      <c r="G120" s="863"/>
      <c r="H120" s="863"/>
      <c r="I120" s="863"/>
      <c r="J120" s="863"/>
      <c r="K120" s="863"/>
      <c r="M120" s="2604"/>
      <c r="N120" s="2605">
        <f t="shared" si="4"/>
        <v>0</v>
      </c>
    </row>
    <row r="121" spans="2:15">
      <c r="B121" s="788"/>
      <c r="C121" s="789"/>
      <c r="E121" s="863"/>
      <c r="F121" s="805"/>
      <c r="G121" s="863"/>
      <c r="H121" s="863"/>
      <c r="I121" s="863"/>
      <c r="J121" s="863"/>
      <c r="K121" s="863"/>
      <c r="M121" s="2604"/>
      <c r="N121" s="2605">
        <f t="shared" si="4"/>
        <v>0</v>
      </c>
    </row>
    <row r="122" spans="2:15">
      <c r="D122" s="789" t="s">
        <v>263</v>
      </c>
      <c r="E122" s="789" t="s">
        <v>264</v>
      </c>
      <c r="F122" s="789"/>
      <c r="G122" s="789" t="s">
        <v>265</v>
      </c>
      <c r="H122" s="786"/>
      <c r="I122" s="2431" t="s">
        <v>266</v>
      </c>
      <c r="J122" s="2432"/>
      <c r="K122" s="786"/>
      <c r="L122" s="790" t="s">
        <v>267</v>
      </c>
      <c r="M122" s="2604" t="s">
        <v>267</v>
      </c>
      <c r="N122" s="2605">
        <f t="shared" si="4"/>
        <v>0</v>
      </c>
    </row>
    <row r="123" spans="2:15">
      <c r="B123" s="662"/>
      <c r="D123" s="789"/>
      <c r="E123" s="789"/>
      <c r="F123" s="789"/>
      <c r="G123" s="789"/>
      <c r="H123" s="786"/>
      <c r="I123" s="786"/>
      <c r="J123" s="824"/>
      <c r="K123" s="786"/>
      <c r="M123" s="2604"/>
      <c r="N123" s="2605">
        <f t="shared" si="4"/>
        <v>0</v>
      </c>
      <c r="O123" s="782"/>
    </row>
    <row r="124" spans="2:15">
      <c r="B124" s="825"/>
      <c r="C124" s="789"/>
      <c r="D124" s="864" t="s">
        <v>243</v>
      </c>
      <c r="E124" s="826" t="str">
        <f>E50</f>
        <v>Data Sources</v>
      </c>
      <c r="F124" s="827"/>
      <c r="G124" s="786"/>
      <c r="H124" s="786"/>
      <c r="I124" s="786"/>
      <c r="J124" s="789"/>
      <c r="K124" s="786"/>
      <c r="L124" s="826" t="str">
        <f>L50</f>
        <v>Total</v>
      </c>
      <c r="M124" s="2604" t="s">
        <v>260</v>
      </c>
      <c r="N124" s="2605" t="e">
        <f t="shared" si="4"/>
        <v>#VALUE!</v>
      </c>
      <c r="O124" s="782"/>
    </row>
    <row r="125" spans="2:15">
      <c r="B125" s="662"/>
      <c r="C125" s="796"/>
      <c r="D125" s="829" t="s">
        <v>244</v>
      </c>
      <c r="E125" s="865" t="str">
        <f>E51</f>
        <v>(See "General Notes")</v>
      </c>
      <c r="F125" s="786"/>
      <c r="G125" s="865" t="str">
        <f>G51</f>
        <v>TO Total</v>
      </c>
      <c r="H125" s="831"/>
      <c r="I125" s="2429" t="str">
        <f>I51</f>
        <v>Allocator</v>
      </c>
      <c r="J125" s="2430"/>
      <c r="K125" s="831"/>
      <c r="L125" s="865" t="str">
        <f>L51</f>
        <v>Transmission</v>
      </c>
      <c r="M125" s="2604" t="s">
        <v>257</v>
      </c>
      <c r="N125" s="2605" t="e">
        <f t="shared" si="4"/>
        <v>#VALUE!</v>
      </c>
      <c r="O125" s="782"/>
    </row>
    <row r="126" spans="2:15">
      <c r="B126" s="866" t="str">
        <f>B52</f>
        <v>Line</v>
      </c>
      <c r="D126" s="783"/>
      <c r="E126" s="786"/>
      <c r="F126" s="786"/>
      <c r="G126" s="829"/>
      <c r="H126" s="867"/>
      <c r="I126" s="864"/>
      <c r="K126" s="867"/>
      <c r="L126" s="829"/>
      <c r="M126" s="2604"/>
      <c r="N126" s="2605">
        <f t="shared" si="4"/>
        <v>0</v>
      </c>
    </row>
    <row r="127" spans="2:15" ht="18.75" thickBot="1">
      <c r="B127" s="795" t="str">
        <f>B53</f>
        <v>No.</v>
      </c>
      <c r="C127" s="789"/>
      <c r="D127" s="783" t="s">
        <v>245</v>
      </c>
      <c r="E127" s="786"/>
      <c r="F127" s="786"/>
      <c r="G127" s="786"/>
      <c r="H127" s="786"/>
      <c r="I127" s="805"/>
      <c r="J127" s="786"/>
      <c r="K127" s="786"/>
      <c r="L127" s="786"/>
      <c r="M127" s="2604"/>
      <c r="N127" s="2605">
        <f t="shared" si="4"/>
        <v>0</v>
      </c>
    </row>
    <row r="128" spans="2:15">
      <c r="B128" s="832">
        <f>+B113+1</f>
        <v>64</v>
      </c>
      <c r="C128" s="789"/>
      <c r="D128" s="783" t="s">
        <v>277</v>
      </c>
      <c r="E128" s="786" t="s">
        <v>53</v>
      </c>
      <c r="F128" s="786"/>
      <c r="G128" s="1702">
        <v>137056446.89399999</v>
      </c>
      <c r="H128" s="814"/>
      <c r="I128" s="791"/>
      <c r="J128" s="791"/>
      <c r="K128" s="791"/>
      <c r="L128" s="791"/>
      <c r="M128" s="2604"/>
      <c r="N128" s="2605">
        <f t="shared" si="4"/>
        <v>0</v>
      </c>
      <c r="O128" s="786"/>
    </row>
    <row r="129" spans="1:15">
      <c r="A129" s="791"/>
      <c r="B129" s="832">
        <f>+B128+1</f>
        <v>65</v>
      </c>
      <c r="C129" s="789"/>
      <c r="D129" s="783" t="s">
        <v>401</v>
      </c>
      <c r="E129" s="786" t="s">
        <v>185</v>
      </c>
      <c r="F129" s="786"/>
      <c r="G129" s="1702">
        <v>13470136.061999999</v>
      </c>
      <c r="H129" s="814"/>
      <c r="I129" s="791"/>
      <c r="J129" s="791"/>
      <c r="K129" s="791"/>
      <c r="L129" s="791"/>
      <c r="M129" s="2604"/>
      <c r="N129" s="2605">
        <f t="shared" si="4"/>
        <v>0</v>
      </c>
      <c r="O129" s="786"/>
    </row>
    <row r="130" spans="1:15">
      <c r="A130" s="791"/>
      <c r="B130" s="832">
        <f t="shared" ref="B130:B134" si="8">+B129+1</f>
        <v>66</v>
      </c>
      <c r="C130" s="789"/>
      <c r="D130" s="783" t="s">
        <v>208</v>
      </c>
      <c r="E130" s="786" t="s">
        <v>186</v>
      </c>
      <c r="F130" s="786"/>
      <c r="G130" s="1702">
        <v>96961392.154999986</v>
      </c>
      <c r="H130" s="814"/>
      <c r="I130" s="791"/>
      <c r="J130" s="791"/>
      <c r="K130" s="791"/>
      <c r="L130" s="791"/>
      <c r="M130" s="2604"/>
      <c r="N130" s="2605">
        <f t="shared" si="4"/>
        <v>0</v>
      </c>
      <c r="O130" s="786"/>
    </row>
    <row r="131" spans="1:15">
      <c r="A131" s="791"/>
      <c r="B131" s="832">
        <f t="shared" si="8"/>
        <v>67</v>
      </c>
      <c r="C131" s="789"/>
      <c r="D131" s="783" t="s">
        <v>1163</v>
      </c>
      <c r="E131" s="786" t="str">
        <f>"Worksheet S ln "&amp;'SWEPCO WS S Reg Assets'!B16&amp;" (Note V)"</f>
        <v>Worksheet S ln 2 (Note V)</v>
      </c>
      <c r="F131" s="786"/>
      <c r="G131" s="1703">
        <f>+'SWEPCO WS S Reg Assets'!I16</f>
        <v>31298.027999999998</v>
      </c>
      <c r="H131" s="814"/>
      <c r="I131" s="791"/>
      <c r="J131" s="791"/>
      <c r="K131" s="791"/>
      <c r="L131" s="791"/>
      <c r="M131" s="2604"/>
      <c r="N131" s="2605">
        <f t="shared" si="4"/>
        <v>0</v>
      </c>
      <c r="O131" s="786"/>
    </row>
    <row r="132" spans="1:15">
      <c r="A132" s="791"/>
      <c r="B132" s="832">
        <f t="shared" si="8"/>
        <v>68</v>
      </c>
      <c r="C132" s="789"/>
      <c r="D132" s="783" t="s">
        <v>879</v>
      </c>
      <c r="E132" s="786" t="str">
        <f>"Worksheet I ln "&amp;'SWEPCO WS I Exp Adj'!B21&amp;""</f>
        <v>Worksheet I ln 10</v>
      </c>
      <c r="F132" s="786"/>
      <c r="G132" s="870">
        <f>+'SWEPCO WS I Exp Adj'!G21</f>
        <v>0</v>
      </c>
      <c r="H132" s="814"/>
      <c r="I132" s="791"/>
      <c r="J132" s="791"/>
      <c r="K132" s="791"/>
      <c r="L132" s="791"/>
      <c r="M132" s="2604"/>
      <c r="N132" s="2605">
        <f t="shared" si="4"/>
        <v>0</v>
      </c>
      <c r="O132" s="786"/>
    </row>
    <row r="133" spans="1:15" ht="18.75" thickBot="1">
      <c r="A133" s="791"/>
      <c r="B133" s="832">
        <f t="shared" si="8"/>
        <v>69</v>
      </c>
      <c r="C133" s="789"/>
      <c r="D133" s="783" t="s">
        <v>1164</v>
      </c>
      <c r="E133" s="786" t="str">
        <f>"Worksheet S ln "&amp;'SWEPCO WS S Reg Assets'!B23&amp;" (Note V)"</f>
        <v>Worksheet S ln 4 (Note V)</v>
      </c>
      <c r="F133" s="786"/>
      <c r="G133" s="804">
        <f>+'SWEPCO WS S Reg Assets'!I23</f>
        <v>0</v>
      </c>
      <c r="H133" s="814"/>
      <c r="I133" s="791"/>
      <c r="J133" s="791"/>
      <c r="K133" s="791"/>
      <c r="L133" s="791"/>
      <c r="M133" s="2604"/>
      <c r="N133" s="2605">
        <f t="shared" si="4"/>
        <v>0</v>
      </c>
      <c r="O133" s="786"/>
    </row>
    <row r="134" spans="1:15">
      <c r="A134" s="791"/>
      <c r="B134" s="832">
        <f t="shared" si="8"/>
        <v>70</v>
      </c>
      <c r="C134" s="789"/>
      <c r="D134" s="783" t="s">
        <v>49</v>
      </c>
      <c r="E134" s="786" t="str">
        <f>"(lns "&amp;B128&amp;" - "&amp;B129&amp;" - "&amp;B130&amp;" - "&amp;B131&amp;" + "&amp;B132&amp;" + "&amp;B133&amp;")"</f>
        <v>(lns 64 - 65 - 66 - 67 + 68 + 69)</v>
      </c>
      <c r="F134" s="783"/>
      <c r="G134" s="871">
        <f>+G128-G129-G130-G131+G132+G133</f>
        <v>26593620.649</v>
      </c>
      <c r="H134" s="786"/>
      <c r="I134" s="805" t="s">
        <v>262</v>
      </c>
      <c r="J134" s="806">
        <f>+$L$211</f>
        <v>0.94966680041216833</v>
      </c>
      <c r="K134" s="786"/>
      <c r="L134" s="814">
        <f>+J134*G134</f>
        <v>25255078.633110803</v>
      </c>
      <c r="M134" s="2604">
        <v>25255078.633110803</v>
      </c>
      <c r="N134" s="2605">
        <f t="shared" si="4"/>
        <v>0</v>
      </c>
      <c r="O134" s="786"/>
    </row>
    <row r="135" spans="1:15">
      <c r="A135" s="791"/>
      <c r="B135" s="788"/>
      <c r="C135" s="789"/>
      <c r="D135" s="783"/>
      <c r="E135" s="786"/>
      <c r="F135" s="786"/>
      <c r="G135" s="779"/>
      <c r="H135" s="814"/>
      <c r="I135" s="791"/>
      <c r="J135" s="791"/>
      <c r="K135" s="791"/>
      <c r="L135" s="791"/>
      <c r="M135" s="2604"/>
      <c r="N135" s="2605">
        <f t="shared" si="4"/>
        <v>0</v>
      </c>
      <c r="O135" s="786"/>
    </row>
    <row r="136" spans="1:15">
      <c r="A136" s="791"/>
      <c r="B136" s="788">
        <f>+B134+1</f>
        <v>71</v>
      </c>
      <c r="C136" s="789"/>
      <c r="D136" s="783" t="s">
        <v>246</v>
      </c>
      <c r="E136" s="786" t="s">
        <v>418</v>
      </c>
      <c r="F136" s="786"/>
      <c r="G136" s="1702">
        <v>68649844.324999988</v>
      </c>
      <c r="H136" s="814"/>
      <c r="I136" s="854"/>
      <c r="J136" s="854"/>
      <c r="K136" s="786"/>
      <c r="L136" s="814"/>
      <c r="M136" s="2604"/>
      <c r="N136" s="2605">
        <f t="shared" si="4"/>
        <v>0</v>
      </c>
      <c r="O136" s="786"/>
    </row>
    <row r="137" spans="1:15">
      <c r="A137" s="791"/>
      <c r="B137" s="788">
        <f t="shared" ref="B137:B144" si="9">+B136+1</f>
        <v>72</v>
      </c>
      <c r="C137" s="789"/>
      <c r="D137" s="783" t="s">
        <v>403</v>
      </c>
      <c r="E137" s="786" t="s">
        <v>54</v>
      </c>
      <c r="F137" s="786"/>
      <c r="G137" s="1702">
        <v>2663756.25</v>
      </c>
      <c r="H137" s="814"/>
      <c r="I137" s="854"/>
      <c r="J137" s="783"/>
      <c r="K137" s="786"/>
      <c r="L137" s="814"/>
      <c r="M137" s="2604"/>
      <c r="N137" s="2605">
        <f t="shared" si="4"/>
        <v>0</v>
      </c>
      <c r="O137" s="786"/>
    </row>
    <row r="138" spans="1:15">
      <c r="B138" s="788">
        <f t="shared" si="9"/>
        <v>73</v>
      </c>
      <c r="C138" s="789"/>
      <c r="D138" s="783" t="s">
        <v>402</v>
      </c>
      <c r="E138" s="786" t="s">
        <v>187</v>
      </c>
      <c r="F138" s="786"/>
      <c r="G138" s="814">
        <f>+'SWEPCO WS J Misc Exp'!D27</f>
        <v>4043074</v>
      </c>
      <c r="H138" s="814"/>
      <c r="I138" s="854"/>
      <c r="J138" s="872"/>
      <c r="K138" s="786"/>
      <c r="L138" s="814"/>
      <c r="M138" s="2604"/>
      <c r="N138" s="2605">
        <f t="shared" si="4"/>
        <v>0</v>
      </c>
      <c r="O138" s="786"/>
    </row>
    <row r="139" spans="1:15">
      <c r="B139" s="788">
        <f t="shared" si="9"/>
        <v>74</v>
      </c>
      <c r="C139" s="789"/>
      <c r="D139" s="783" t="s">
        <v>249</v>
      </c>
      <c r="E139" s="786" t="s">
        <v>188</v>
      </c>
      <c r="F139" s="786"/>
      <c r="G139" s="814">
        <f>+'SWEPCO WS J Misc Exp'!D36</f>
        <v>283725</v>
      </c>
      <c r="H139" s="814"/>
      <c r="I139" s="854"/>
      <c r="J139" s="854"/>
      <c r="K139" s="786"/>
      <c r="L139" s="814"/>
      <c r="M139" s="2604"/>
      <c r="N139" s="2605">
        <f t="shared" si="4"/>
        <v>0</v>
      </c>
      <c r="O139" s="786"/>
    </row>
    <row r="140" spans="1:15">
      <c r="B140" s="788">
        <f t="shared" si="9"/>
        <v>75</v>
      </c>
      <c r="C140" s="789"/>
      <c r="D140" s="783" t="s">
        <v>404</v>
      </c>
      <c r="E140" s="786" t="s">
        <v>189</v>
      </c>
      <c r="F140" s="786"/>
      <c r="G140" s="814">
        <f>+'SWEPCO WS J Misc Exp'!D45</f>
        <v>1227621</v>
      </c>
      <c r="H140" s="814"/>
      <c r="I140" s="854"/>
      <c r="J140" s="854"/>
      <c r="K140" s="786"/>
      <c r="L140" s="814"/>
      <c r="M140" s="2604"/>
      <c r="N140" s="2605">
        <f t="shared" si="4"/>
        <v>0</v>
      </c>
      <c r="O140" s="786"/>
    </row>
    <row r="141" spans="1:15" ht="18.75" thickBot="1">
      <c r="B141" s="788">
        <f>+B140+1</f>
        <v>76</v>
      </c>
      <c r="C141" s="789"/>
      <c r="D141" s="783" t="s">
        <v>1186</v>
      </c>
      <c r="E141" s="786" t="str">
        <f>"Worksheet S ln "&amp;'SWEPCO WS S Reg Assets'!B28&amp;" (Note V)"</f>
        <v>Worksheet S ln 6 (Note V)</v>
      </c>
      <c r="F141" s="786"/>
      <c r="G141" s="814">
        <f>+'SWEPCO WS S Reg Assets'!I28</f>
        <v>587431.299</v>
      </c>
      <c r="H141" s="814"/>
      <c r="I141" s="854"/>
      <c r="J141" s="854"/>
      <c r="K141" s="786"/>
      <c r="L141" s="814"/>
      <c r="M141" s="2604"/>
      <c r="N141" s="2605">
        <f t="shared" ref="N141:N193" si="10">+L141-M141</f>
        <v>0</v>
      </c>
      <c r="O141" s="786"/>
    </row>
    <row r="142" spans="1:15">
      <c r="B142" s="788">
        <f>+B141+1</f>
        <v>77</v>
      </c>
      <c r="C142" s="789"/>
      <c r="D142" s="783" t="s">
        <v>250</v>
      </c>
      <c r="E142" s="786" t="str">
        <f>"(ln "&amp;B136&amp;" - sum ln "&amp;B137&amp;"  to ln "&amp;B141&amp;")"</f>
        <v>(ln 71 - sum ln 72  to ln 76)</v>
      </c>
      <c r="F142" s="786"/>
      <c r="G142" s="871">
        <f>G136-SUM(G137:G141)</f>
        <v>59844236.775999986</v>
      </c>
      <c r="H142" s="814"/>
      <c r="I142" s="805" t="s">
        <v>274</v>
      </c>
      <c r="J142" s="806">
        <f>+$L$221</f>
        <v>7.7548538419814919E-2</v>
      </c>
      <c r="K142" s="786"/>
      <c r="L142" s="814">
        <f>+J142*G142</f>
        <v>4640833.0948281353</v>
      </c>
      <c r="M142" s="2604">
        <v>4640833.0948281353</v>
      </c>
      <c r="N142" s="2605">
        <f t="shared" si="10"/>
        <v>0</v>
      </c>
      <c r="O142" s="786"/>
    </row>
    <row r="143" spans="1:15">
      <c r="B143" s="788">
        <f t="shared" si="9"/>
        <v>78</v>
      </c>
      <c r="C143" s="789"/>
      <c r="D143" s="783" t="s">
        <v>336</v>
      </c>
      <c r="E143" s="786" t="str">
        <f>"(ln "&amp;B137&amp;")"</f>
        <v>(ln 72)</v>
      </c>
      <c r="F143" s="786"/>
      <c r="G143" s="814">
        <f>+G137</f>
        <v>2663756.25</v>
      </c>
      <c r="H143" s="814"/>
      <c r="I143" s="823" t="s">
        <v>865</v>
      </c>
      <c r="J143" s="806">
        <f>+$J$63</f>
        <v>0.1920306930200528</v>
      </c>
      <c r="K143" s="786"/>
      <c r="L143" s="814">
        <f>+J143*G143</f>
        <v>511522.958723997</v>
      </c>
      <c r="M143" s="2604">
        <v>511522.958723997</v>
      </c>
      <c r="N143" s="2605">
        <f t="shared" si="10"/>
        <v>0</v>
      </c>
      <c r="O143" s="786"/>
    </row>
    <row r="144" spans="1:15">
      <c r="B144" s="788">
        <f t="shared" si="9"/>
        <v>79</v>
      </c>
      <c r="C144" s="789"/>
      <c r="D144" s="783" t="s">
        <v>361</v>
      </c>
      <c r="E144" s="786" t="str">
        <f>"Worksheet J ln "&amp;'SWEPCO WS J Misc Exp'!A27&amp;".(E) (Note L)"</f>
        <v>Worksheet J ln 10.(E) (Note L)</v>
      </c>
      <c r="F144" s="786"/>
      <c r="G144" s="814">
        <f>+'SWEPCO WS J Misc Exp'!F27</f>
        <v>137</v>
      </c>
      <c r="H144" s="814"/>
      <c r="I144" s="805" t="s">
        <v>262</v>
      </c>
      <c r="J144" s="806">
        <f>+$L$211</f>
        <v>0.94966680041216833</v>
      </c>
      <c r="K144" s="786"/>
      <c r="L144" s="814">
        <f>J144*G144</f>
        <v>130.10435165646706</v>
      </c>
      <c r="M144" s="2604">
        <v>130.10435165646706</v>
      </c>
      <c r="N144" s="2605">
        <f t="shared" si="10"/>
        <v>0</v>
      </c>
      <c r="O144" s="786"/>
    </row>
    <row r="145" spans="2:15">
      <c r="B145" s="788">
        <f>+B144+1</f>
        <v>80</v>
      </c>
      <c r="C145" s="789"/>
      <c r="D145" s="783" t="s">
        <v>363</v>
      </c>
      <c r="E145" s="786" t="str">
        <f>"Worksheet J ln "&amp;'SWEPCO WS J Misc Exp'!A36&amp;".(E) (Note L)"</f>
        <v>Worksheet J ln 16.(E) (Note L)</v>
      </c>
      <c r="F145" s="786"/>
      <c r="G145" s="804">
        <f>'SWEPCO WS J Misc Exp'!F36</f>
        <v>0</v>
      </c>
      <c r="H145" s="786"/>
      <c r="I145" s="823" t="s">
        <v>865</v>
      </c>
      <c r="J145" s="806">
        <f>+J63</f>
        <v>0.1920306930200528</v>
      </c>
      <c r="K145" s="786"/>
      <c r="L145" s="804">
        <f>+J145*G145</f>
        <v>0</v>
      </c>
      <c r="M145" s="2604">
        <v>0</v>
      </c>
      <c r="N145" s="2605">
        <f t="shared" si="10"/>
        <v>0</v>
      </c>
      <c r="O145" s="786"/>
    </row>
    <row r="146" spans="2:15">
      <c r="B146" s="788">
        <f>+B145+1</f>
        <v>81</v>
      </c>
      <c r="C146" s="789"/>
      <c r="D146" s="783" t="s">
        <v>364</v>
      </c>
      <c r="E146" s="786" t="str">
        <f>"Worksheet J ln "&amp;'SWEPCO WS J Misc Exp'!A45&amp;".(E) (Note L)"</f>
        <v>Worksheet J ln 22.(E) (Note L)</v>
      </c>
      <c r="F146" s="786"/>
      <c r="G146" s="804">
        <f>'SWEPCO WS J Misc Exp'!F45</f>
        <v>103713.31</v>
      </c>
      <c r="H146" s="786"/>
      <c r="I146" s="805" t="s">
        <v>271</v>
      </c>
      <c r="J146" s="806">
        <v>1</v>
      </c>
      <c r="K146" s="786"/>
      <c r="L146" s="804">
        <f>J146*G146</f>
        <v>103713.31</v>
      </c>
      <c r="M146" s="2604">
        <v>103713.31</v>
      </c>
      <c r="N146" s="2605">
        <f t="shared" si="10"/>
        <v>0</v>
      </c>
      <c r="O146" s="786"/>
    </row>
    <row r="147" spans="2:15" ht="18.75" thickBot="1">
      <c r="B147" s="788">
        <f>+B146+1</f>
        <v>82</v>
      </c>
      <c r="C147" s="789"/>
      <c r="D147" s="783" t="s">
        <v>1187</v>
      </c>
      <c r="E147" s="786" t="str">
        <f>"Worksheet S ln "&amp;'SWEPCO WS S Reg Assets'!B33&amp;" (Note V)"</f>
        <v>Worksheet S ln 8 (Note V)</v>
      </c>
      <c r="F147" s="786"/>
      <c r="G147" s="804">
        <f>+'SWEPCO WS S Reg Assets'!I33</f>
        <v>533310</v>
      </c>
      <c r="H147" s="786"/>
      <c r="I147" s="805" t="s">
        <v>274</v>
      </c>
      <c r="J147" s="806">
        <f>+$L$221</f>
        <v>7.7548538419814919E-2</v>
      </c>
      <c r="K147" s="786"/>
      <c r="L147" s="814">
        <f>J147*G147</f>
        <v>41357.411024671492</v>
      </c>
      <c r="M147" s="2604">
        <v>41357.411024671492</v>
      </c>
      <c r="N147" s="2605">
        <f t="shared" si="10"/>
        <v>0</v>
      </c>
      <c r="O147" s="786"/>
    </row>
    <row r="148" spans="2:15">
      <c r="B148" s="788">
        <f>+B147+1</f>
        <v>83</v>
      </c>
      <c r="C148" s="789"/>
      <c r="D148" s="783" t="s">
        <v>251</v>
      </c>
      <c r="E148" s="801" t="str">
        <f>"(sum lns "&amp;B142&amp;" to "&amp;B147&amp;")"</f>
        <v>(sum lns 77 to 82)</v>
      </c>
      <c r="F148" s="786"/>
      <c r="G148" s="871">
        <f>SUM(G142:G147)</f>
        <v>63145153.335999988</v>
      </c>
      <c r="H148" s="814"/>
      <c r="I148" s="805"/>
      <c r="J148" s="854"/>
      <c r="K148" s="786"/>
      <c r="L148" s="871">
        <f>SUM(L142:L147)</f>
        <v>5297556.8789284592</v>
      </c>
      <c r="M148" s="2604">
        <v>5297556.8789284592</v>
      </c>
      <c r="N148" s="2605">
        <f t="shared" si="10"/>
        <v>0</v>
      </c>
      <c r="O148" s="786"/>
    </row>
    <row r="149" spans="2:15" ht="18.75" thickBot="1">
      <c r="B149" s="788"/>
      <c r="C149" s="789"/>
      <c r="D149" s="783"/>
      <c r="E149" s="786"/>
      <c r="F149" s="786"/>
      <c r="G149" s="843"/>
      <c r="H149" s="814"/>
      <c r="I149" s="805"/>
      <c r="J149" s="854"/>
      <c r="K149" s="786"/>
      <c r="L149" s="843"/>
      <c r="M149" s="2604"/>
      <c r="N149" s="2605">
        <f t="shared" si="10"/>
        <v>0</v>
      </c>
      <c r="O149" s="786"/>
    </row>
    <row r="150" spans="2:15">
      <c r="B150" s="788">
        <f>+B148+1</f>
        <v>84</v>
      </c>
      <c r="C150" s="789"/>
      <c r="D150" s="783" t="s">
        <v>252</v>
      </c>
      <c r="E150" s="786" t="str">
        <f>"(ln "&amp;B134&amp;" + ln "&amp;B148&amp;")"</f>
        <v>(ln 70 + ln 83)</v>
      </c>
      <c r="F150" s="786"/>
      <c r="G150" s="814">
        <f>G134+G148</f>
        <v>89738773.984999985</v>
      </c>
      <c r="H150" s="814"/>
      <c r="I150" s="805"/>
      <c r="J150" s="860"/>
      <c r="K150" s="786"/>
      <c r="L150" s="814">
        <f>+L148+L134</f>
        <v>30552635.512039263</v>
      </c>
      <c r="M150" s="2604">
        <v>30552635.512039263</v>
      </c>
      <c r="N150" s="2605">
        <f t="shared" si="10"/>
        <v>0</v>
      </c>
      <c r="O150" s="786"/>
    </row>
    <row r="151" spans="2:15">
      <c r="B151" s="788"/>
      <c r="C151" s="789"/>
      <c r="D151" s="783"/>
      <c r="E151" s="786"/>
      <c r="F151" s="786"/>
      <c r="G151" s="804"/>
      <c r="H151" s="873"/>
      <c r="I151" s="834"/>
      <c r="J151" s="874"/>
      <c r="K151" s="873"/>
      <c r="L151" s="804"/>
      <c r="M151" s="2604"/>
      <c r="N151" s="2605">
        <f t="shared" si="10"/>
        <v>0</v>
      </c>
      <c r="O151" s="786"/>
    </row>
    <row r="152" spans="2:15">
      <c r="B152" s="788">
        <f>+B150+1</f>
        <v>85</v>
      </c>
      <c r="C152" s="789"/>
      <c r="D152" s="835" t="s">
        <v>255</v>
      </c>
      <c r="E152" s="805"/>
      <c r="F152" s="805"/>
      <c r="G152" s="804"/>
      <c r="H152" s="873"/>
      <c r="I152" s="834"/>
      <c r="J152" s="873"/>
      <c r="K152" s="873"/>
      <c r="L152" s="804"/>
      <c r="M152" s="2604"/>
      <c r="N152" s="2605">
        <f t="shared" si="10"/>
        <v>0</v>
      </c>
      <c r="O152" s="786"/>
    </row>
    <row r="153" spans="2:15">
      <c r="B153" s="788">
        <f t="shared" ref="B153:B156" si="11">+B152+1</f>
        <v>86</v>
      </c>
      <c r="C153" s="789"/>
      <c r="D153" s="838" t="s">
        <v>270</v>
      </c>
      <c r="E153" s="801" t="s">
        <v>1332</v>
      </c>
      <c r="F153" s="875"/>
      <c r="G153" s="1702">
        <v>41812686</v>
      </c>
      <c r="H153" s="873"/>
      <c r="I153" s="840" t="s">
        <v>262</v>
      </c>
      <c r="J153" s="806">
        <f>+L211</f>
        <v>0.94966680041216833</v>
      </c>
      <c r="K153" s="873"/>
      <c r="L153" s="842">
        <f>+G153*J153</f>
        <v>39708119.730258666</v>
      </c>
      <c r="M153" s="2604">
        <v>39708119.730258666</v>
      </c>
      <c r="N153" s="2605">
        <f t="shared" si="10"/>
        <v>0</v>
      </c>
      <c r="O153" s="786"/>
    </row>
    <row r="154" spans="2:15">
      <c r="B154" s="788">
        <f>+B153+1</f>
        <v>87</v>
      </c>
      <c r="C154" s="789"/>
      <c r="D154" s="835" t="s">
        <v>278</v>
      </c>
      <c r="E154" s="875" t="s">
        <v>1333</v>
      </c>
      <c r="F154" s="786"/>
      <c r="G154" s="1702">
        <v>6568892</v>
      </c>
      <c r="H154" s="814"/>
      <c r="I154" s="805" t="s">
        <v>274</v>
      </c>
      <c r="J154" s="806">
        <f>+$L$221</f>
        <v>7.7548538419814919E-2</v>
      </c>
      <c r="K154" s="786"/>
      <c r="L154" s="814">
        <f>+J154*G154</f>
        <v>509407.97363761486</v>
      </c>
      <c r="M154" s="2604">
        <v>509407.97363761486</v>
      </c>
      <c r="N154" s="2605">
        <f t="shared" si="10"/>
        <v>0</v>
      </c>
      <c r="O154" s="786"/>
    </row>
    <row r="155" spans="2:15" ht="18.75" thickBot="1">
      <c r="B155" s="788">
        <f t="shared" si="11"/>
        <v>88</v>
      </c>
      <c r="C155" s="789"/>
      <c r="D155" s="835" t="s">
        <v>279</v>
      </c>
      <c r="E155" s="875" t="s">
        <v>1085</v>
      </c>
      <c r="F155" s="786"/>
      <c r="G155" s="1702">
        <v>17372704</v>
      </c>
      <c r="H155" s="814"/>
      <c r="I155" s="805" t="s">
        <v>274</v>
      </c>
      <c r="J155" s="806">
        <f>+L221</f>
        <v>7.7548538419814919E-2</v>
      </c>
      <c r="K155" s="786"/>
      <c r="L155" s="843">
        <f>+J155*G155</f>
        <v>1347227.8036000724</v>
      </c>
      <c r="M155" s="2604">
        <v>1347227.8036000724</v>
      </c>
      <c r="N155" s="2605">
        <f t="shared" si="10"/>
        <v>0</v>
      </c>
      <c r="O155" s="786"/>
    </row>
    <row r="156" spans="2:15">
      <c r="B156" s="788">
        <f t="shared" si="11"/>
        <v>89</v>
      </c>
      <c r="C156" s="789"/>
      <c r="D156" s="835" t="s">
        <v>389</v>
      </c>
      <c r="E156" s="801" t="str">
        <f>"(sum lns "&amp;B153&amp;" to "&amp;B155&amp;")"</f>
        <v>(sum lns 86 to 88)</v>
      </c>
      <c r="F156" s="786"/>
      <c r="G156" s="871">
        <f>SUM(G153:G155)</f>
        <v>65754282</v>
      </c>
      <c r="H156" s="786"/>
      <c r="I156" s="805"/>
      <c r="J156" s="786"/>
      <c r="K156" s="786"/>
      <c r="L156" s="814">
        <f>SUM(L153:L155)</f>
        <v>41564755.507496357</v>
      </c>
      <c r="M156" s="2604">
        <v>41564755.507496357</v>
      </c>
      <c r="N156" s="2605">
        <f t="shared" si="10"/>
        <v>0</v>
      </c>
      <c r="O156" s="786"/>
    </row>
    <row r="157" spans="2:15">
      <c r="B157" s="788"/>
      <c r="C157" s="789"/>
      <c r="D157" s="835"/>
      <c r="E157" s="801"/>
      <c r="F157" s="786"/>
      <c r="G157" s="814"/>
      <c r="H157" s="786"/>
      <c r="I157" s="805"/>
      <c r="J157" s="786"/>
      <c r="K157" s="786"/>
      <c r="L157" s="814"/>
      <c r="M157" s="2604"/>
      <c r="N157" s="2605">
        <f t="shared" si="10"/>
        <v>0</v>
      </c>
      <c r="O157" s="786"/>
    </row>
    <row r="158" spans="2:15">
      <c r="B158" s="788">
        <f>+B156+1</f>
        <v>90</v>
      </c>
      <c r="C158" s="789"/>
      <c r="D158" s="835" t="s">
        <v>214</v>
      </c>
      <c r="E158" s="786" t="s">
        <v>417</v>
      </c>
      <c r="G158" s="814"/>
      <c r="H158" s="786"/>
      <c r="I158" s="805"/>
      <c r="J158" s="786"/>
      <c r="K158" s="786"/>
      <c r="L158" s="814"/>
      <c r="M158" s="2604"/>
      <c r="N158" s="2605">
        <f t="shared" si="10"/>
        <v>0</v>
      </c>
      <c r="O158" s="786"/>
    </row>
    <row r="159" spans="2:15">
      <c r="B159" s="788">
        <f t="shared" ref="B159:B165" si="12">+B158+1</f>
        <v>91</v>
      </c>
      <c r="C159" s="789"/>
      <c r="D159" s="835" t="s">
        <v>280</v>
      </c>
      <c r="G159" s="814"/>
      <c r="H159" s="786"/>
      <c r="I159" s="805"/>
      <c r="K159" s="786"/>
      <c r="L159" s="814"/>
      <c r="M159" s="2604"/>
      <c r="N159" s="2605">
        <f t="shared" si="10"/>
        <v>0</v>
      </c>
      <c r="O159" s="786"/>
    </row>
    <row r="160" spans="2:15">
      <c r="B160" s="788">
        <f t="shared" si="12"/>
        <v>92</v>
      </c>
      <c r="C160" s="789"/>
      <c r="D160" s="835" t="s">
        <v>281</v>
      </c>
      <c r="E160" s="786" t="s">
        <v>190</v>
      </c>
      <c r="F160" s="786"/>
      <c r="G160" s="814">
        <f>+'SWEPCO WS L Other Taxes'!I60</f>
        <v>7152850</v>
      </c>
      <c r="H160" s="814"/>
      <c r="I160" s="805" t="s">
        <v>274</v>
      </c>
      <c r="J160" s="806">
        <f>+L221</f>
        <v>7.7548538419814919E-2</v>
      </c>
      <c r="K160" s="786"/>
      <c r="L160" s="814">
        <f>+J160*G160</f>
        <v>554693.06303617312</v>
      </c>
      <c r="M160" s="2604">
        <v>554693.06303617312</v>
      </c>
      <c r="N160" s="2605">
        <f t="shared" si="10"/>
        <v>0</v>
      </c>
      <c r="O160" s="786"/>
    </row>
    <row r="161" spans="2:15">
      <c r="B161" s="788">
        <f t="shared" si="12"/>
        <v>93</v>
      </c>
      <c r="C161" s="789"/>
      <c r="D161" s="835" t="s">
        <v>282</v>
      </c>
      <c r="E161" s="786" t="s">
        <v>256</v>
      </c>
      <c r="F161" s="786"/>
      <c r="G161" s="814"/>
      <c r="H161" s="814"/>
      <c r="I161" s="805"/>
      <c r="K161" s="786"/>
      <c r="L161" s="814"/>
      <c r="M161" s="2604"/>
      <c r="N161" s="2605">
        <f t="shared" si="10"/>
        <v>0</v>
      </c>
      <c r="O161" s="786"/>
    </row>
    <row r="162" spans="2:15">
      <c r="B162" s="788">
        <f t="shared" si="12"/>
        <v>94</v>
      </c>
      <c r="C162" s="789"/>
      <c r="D162" s="835" t="s">
        <v>283</v>
      </c>
      <c r="E162" s="786" t="s">
        <v>191</v>
      </c>
      <c r="F162" s="786"/>
      <c r="G162" s="814">
        <f>+'SWEPCO WS L Other Taxes'!G60</f>
        <v>61348726</v>
      </c>
      <c r="H162" s="814"/>
      <c r="I162" s="805" t="s">
        <v>865</v>
      </c>
      <c r="J162" s="806">
        <f>+J63</f>
        <v>0.1920306930200528</v>
      </c>
      <c r="K162" s="786"/>
      <c r="L162" s="814">
        <f>+G162*J162</f>
        <v>11780838.369677331</v>
      </c>
      <c r="M162" s="2604">
        <v>11780838.369677331</v>
      </c>
      <c r="N162" s="2605">
        <f t="shared" si="10"/>
        <v>0</v>
      </c>
      <c r="O162" s="786"/>
    </row>
    <row r="163" spans="2:15">
      <c r="B163" s="788">
        <f t="shared" si="12"/>
        <v>95</v>
      </c>
      <c r="C163" s="789"/>
      <c r="D163" s="835" t="s">
        <v>1284</v>
      </c>
      <c r="E163" s="786" t="s">
        <v>192</v>
      </c>
      <c r="F163" s="786"/>
      <c r="G163" s="814">
        <f>+'SWEPCO WS L Other Taxes'!M60</f>
        <v>24784535.699999999</v>
      </c>
      <c r="H163" s="791"/>
      <c r="I163" s="805" t="s">
        <v>269</v>
      </c>
      <c r="J163" s="806">
        <v>0</v>
      </c>
      <c r="K163" s="786"/>
      <c r="L163" s="814">
        <f>+J163*G163</f>
        <v>0</v>
      </c>
      <c r="M163" s="2604">
        <v>0</v>
      </c>
      <c r="N163" s="2605">
        <f t="shared" si="10"/>
        <v>0</v>
      </c>
      <c r="O163" s="786"/>
    </row>
    <row r="164" spans="2:15" ht="18.75" thickBot="1">
      <c r="B164" s="788">
        <f t="shared" si="12"/>
        <v>96</v>
      </c>
      <c r="C164" s="789"/>
      <c r="D164" s="835" t="s">
        <v>320</v>
      </c>
      <c r="E164" s="786" t="s">
        <v>193</v>
      </c>
      <c r="F164" s="786"/>
      <c r="G164" s="843">
        <f>+'SWEPCO WS L Other Taxes'!K60</f>
        <v>6302948</v>
      </c>
      <c r="H164" s="791"/>
      <c r="I164" s="805" t="s">
        <v>865</v>
      </c>
      <c r="J164" s="806">
        <f>+J63</f>
        <v>0.1920306930200528</v>
      </c>
      <c r="K164" s="786"/>
      <c r="L164" s="843">
        <f>+J164*G164</f>
        <v>1210359.4725093557</v>
      </c>
      <c r="M164" s="2604">
        <v>1210359.4725093557</v>
      </c>
      <c r="N164" s="2605">
        <f t="shared" si="10"/>
        <v>0</v>
      </c>
      <c r="O164" s="786"/>
    </row>
    <row r="165" spans="2:15">
      <c r="B165" s="788">
        <f t="shared" si="12"/>
        <v>97</v>
      </c>
      <c r="C165" s="789"/>
      <c r="D165" s="835" t="s">
        <v>215</v>
      </c>
      <c r="E165" s="801" t="str">
        <f>"(sum lns "&amp;B160&amp;" to "&amp;B164&amp;")"</f>
        <v>(sum lns 92 to 96)</v>
      </c>
      <c r="F165" s="786"/>
      <c r="G165" s="814">
        <f>SUM(G160:G164)</f>
        <v>99589059.700000003</v>
      </c>
      <c r="H165" s="786"/>
      <c r="I165" s="805"/>
      <c r="J165" s="876"/>
      <c r="K165" s="786"/>
      <c r="L165" s="814">
        <f>SUM(L160:L164)</f>
        <v>13545890.905222861</v>
      </c>
      <c r="M165" s="2604">
        <v>13545890.905222861</v>
      </c>
      <c r="N165" s="2605">
        <f t="shared" si="10"/>
        <v>0</v>
      </c>
      <c r="O165" s="786"/>
    </row>
    <row r="166" spans="2:15">
      <c r="B166" s="788"/>
      <c r="C166" s="789"/>
      <c r="D166" s="835"/>
      <c r="E166" s="786"/>
      <c r="F166" s="786"/>
      <c r="G166" s="786"/>
      <c r="H166" s="786"/>
      <c r="I166" s="805"/>
      <c r="J166" s="876"/>
      <c r="K166" s="786"/>
      <c r="L166" s="786"/>
      <c r="M166" s="2604"/>
      <c r="N166" s="2605">
        <f t="shared" si="10"/>
        <v>0</v>
      </c>
      <c r="O166" s="786"/>
    </row>
    <row r="167" spans="2:15">
      <c r="B167" s="788">
        <f>+B165+1</f>
        <v>98</v>
      </c>
      <c r="C167" s="789"/>
      <c r="D167" s="835" t="s">
        <v>407</v>
      </c>
      <c r="E167" s="786" t="s">
        <v>416</v>
      </c>
      <c r="F167" s="877"/>
      <c r="G167" s="786"/>
      <c r="H167" s="791"/>
      <c r="I167" s="863"/>
      <c r="K167" s="786"/>
      <c r="M167" s="2604"/>
      <c r="N167" s="2605">
        <f t="shared" si="10"/>
        <v>0</v>
      </c>
      <c r="O167" s="786"/>
    </row>
    <row r="168" spans="2:15">
      <c r="B168" s="788">
        <f t="shared" ref="B168:B175" si="13">+B167+1</f>
        <v>99</v>
      </c>
      <c r="C168" s="789"/>
      <c r="D168" s="878" t="s">
        <v>408</v>
      </c>
      <c r="E168" s="786"/>
      <c r="F168" s="879"/>
      <c r="G168" s="880">
        <f>IF(F299&gt;0,1-(((1-F300)*(1-F299))/(1-F300*F299*F301)),0)</f>
        <v>0.24697199999999997</v>
      </c>
      <c r="H168" s="881"/>
      <c r="I168" s="863"/>
      <c r="J168" s="881"/>
      <c r="K168" s="786"/>
      <c r="M168" s="2604"/>
      <c r="N168" s="2605">
        <f t="shared" si="10"/>
        <v>0</v>
      </c>
      <c r="O168" s="786"/>
    </row>
    <row r="169" spans="2:15">
      <c r="B169" s="788">
        <f t="shared" si="13"/>
        <v>100</v>
      </c>
      <c r="C169" s="789"/>
      <c r="D169" s="658" t="s">
        <v>409</v>
      </c>
      <c r="E169" s="786"/>
      <c r="F169" s="879"/>
      <c r="G169" s="880">
        <f>IF(L235&gt;0,($G168/(1-$G168))*(1-$L235/$L238),0)</f>
        <v>0.22021973936004419</v>
      </c>
      <c r="H169" s="881"/>
      <c r="I169" s="863"/>
      <c r="K169" s="786"/>
      <c r="M169" s="2604"/>
      <c r="N169" s="2605">
        <f t="shared" si="10"/>
        <v>0</v>
      </c>
      <c r="O169" s="786"/>
    </row>
    <row r="170" spans="2:15">
      <c r="B170" s="788">
        <f t="shared" si="13"/>
        <v>101</v>
      </c>
      <c r="C170" s="789"/>
      <c r="D170" s="835" t="str">
        <f>"       where WCLTD=(ln "&amp;B235&amp;") and WACC = (ln "&amp;B238&amp;")"</f>
        <v xml:space="preserve">       where WCLTD=(ln 141) and WACC = (ln 144)</v>
      </c>
      <c r="E170" s="786"/>
      <c r="F170" s="877"/>
      <c r="G170" s="786"/>
      <c r="H170" s="791"/>
      <c r="I170" s="863"/>
      <c r="J170" s="882"/>
      <c r="K170" s="786"/>
      <c r="L170" s="883"/>
      <c r="M170" s="2604"/>
      <c r="N170" s="2605">
        <f t="shared" si="10"/>
        <v>0</v>
      </c>
      <c r="O170" s="786"/>
    </row>
    <row r="171" spans="2:15">
      <c r="B171" s="788">
        <f t="shared" si="13"/>
        <v>102</v>
      </c>
      <c r="C171" s="789"/>
      <c r="D171" s="835" t="s">
        <v>415</v>
      </c>
      <c r="E171" s="884"/>
      <c r="F171" s="879"/>
      <c r="G171" s="786"/>
      <c r="H171" s="791"/>
      <c r="I171" s="863"/>
      <c r="J171" s="882"/>
      <c r="K171" s="786"/>
      <c r="M171" s="2604"/>
      <c r="N171" s="2605">
        <f t="shared" si="10"/>
        <v>0</v>
      </c>
      <c r="O171" s="786"/>
    </row>
    <row r="172" spans="2:15">
      <c r="B172" s="788">
        <f t="shared" si="13"/>
        <v>103</v>
      </c>
      <c r="C172" s="789"/>
      <c r="D172" s="878" t="str">
        <f>"      GRCF=1 / (1 - T)  = (from ln "&amp;B168&amp;")"</f>
        <v xml:space="preserve">      GRCF=1 / (1 - T)  = (from ln 99)</v>
      </c>
      <c r="E172" s="877"/>
      <c r="F172" s="877"/>
      <c r="G172" s="885">
        <f>IF(G168&gt;0,1/(1-G168),0)</f>
        <v>1.327971868243943</v>
      </c>
      <c r="H172" s="791"/>
      <c r="I172" s="823"/>
      <c r="J172" s="886"/>
      <c r="K172" s="814"/>
      <c r="L172" s="822"/>
      <c r="M172" s="2604"/>
      <c r="N172" s="2605">
        <f t="shared" si="10"/>
        <v>0</v>
      </c>
      <c r="O172" s="786"/>
    </row>
    <row r="173" spans="2:15">
      <c r="B173" s="788">
        <f t="shared" si="13"/>
        <v>104</v>
      </c>
      <c r="C173" s="789"/>
      <c r="D173" s="835" t="s">
        <v>410</v>
      </c>
      <c r="E173" s="854" t="s">
        <v>181</v>
      </c>
      <c r="F173" s="877"/>
      <c r="G173" s="1702">
        <v>-1422225</v>
      </c>
      <c r="H173" s="791"/>
      <c r="I173" s="823"/>
      <c r="J173" s="887"/>
      <c r="K173" s="814"/>
      <c r="M173" s="2604"/>
      <c r="N173" s="2605">
        <f t="shared" si="10"/>
        <v>0</v>
      </c>
      <c r="O173" s="786"/>
    </row>
    <row r="174" spans="2:15">
      <c r="B174" s="788">
        <f t="shared" si="13"/>
        <v>105</v>
      </c>
      <c r="C174" s="789"/>
      <c r="D174" s="673" t="s">
        <v>505</v>
      </c>
      <c r="E174" s="854" t="str">
        <f xml:space="preserve"> "Company Records (Note O) and WS C-4 Ln "&amp;'SWEPCO WS C-4 Excess FIT'!A49</f>
        <v>Company Records (Note O) and WS C-4 Ln 24</v>
      </c>
      <c r="F174" s="877"/>
      <c r="G174" s="1702">
        <v>-15961925</v>
      </c>
      <c r="H174" s="791"/>
      <c r="I174" s="823" t="s">
        <v>271</v>
      </c>
      <c r="J174" s="887"/>
      <c r="K174" s="1703"/>
      <c r="L174" s="1702">
        <f>+M174</f>
        <v>-3513356.8000000003</v>
      </c>
      <c r="M174" s="2604">
        <v>-3513356.8000000003</v>
      </c>
      <c r="N174" s="2605">
        <f t="shared" si="10"/>
        <v>0</v>
      </c>
      <c r="O174" s="786"/>
    </row>
    <row r="175" spans="2:15">
      <c r="B175" s="788">
        <f t="shared" si="13"/>
        <v>106</v>
      </c>
      <c r="C175" s="789"/>
      <c r="D175" s="673" t="s">
        <v>794</v>
      </c>
      <c r="E175" s="854" t="s">
        <v>1084</v>
      </c>
      <c r="F175" s="877"/>
      <c r="G175" s="1702">
        <v>1878660</v>
      </c>
      <c r="H175" s="791"/>
      <c r="I175" s="823" t="s">
        <v>271</v>
      </c>
      <c r="J175" s="887"/>
      <c r="K175" s="1703"/>
      <c r="L175" s="1702">
        <v>269220</v>
      </c>
      <c r="M175" s="2604">
        <v>269220</v>
      </c>
      <c r="N175" s="2605">
        <f t="shared" si="10"/>
        <v>0</v>
      </c>
      <c r="O175" s="786"/>
    </row>
    <row r="176" spans="2:15">
      <c r="B176" s="788"/>
      <c r="C176" s="789"/>
      <c r="D176" s="835"/>
      <c r="E176" s="786"/>
      <c r="F176" s="879"/>
      <c r="G176" s="814"/>
      <c r="H176" s="791"/>
      <c r="I176" s="823"/>
      <c r="J176" s="883"/>
      <c r="K176" s="814"/>
      <c r="M176" s="2604"/>
      <c r="N176" s="2605">
        <f t="shared" si="10"/>
        <v>0</v>
      </c>
      <c r="O176" s="786"/>
    </row>
    <row r="177" spans="2:15">
      <c r="B177" s="788">
        <f>+B175+1</f>
        <v>107</v>
      </c>
      <c r="C177" s="789"/>
      <c r="D177" s="878" t="s">
        <v>423</v>
      </c>
      <c r="E177" s="888" t="str">
        <f>"(ln "&amp;B169&amp;" * ln "&amp;B184&amp;")"</f>
        <v>(ln 100 * ln 112)</v>
      </c>
      <c r="F177" s="889"/>
      <c r="G177" s="814">
        <f>+G169*G184</f>
        <v>77350619.151881471</v>
      </c>
      <c r="H177" s="791"/>
      <c r="I177" s="823"/>
      <c r="J177" s="883"/>
      <c r="K177" s="814"/>
      <c r="L177" s="814">
        <f>+L184*G169</f>
        <v>15619634.094630746</v>
      </c>
      <c r="M177" s="2604">
        <v>15633689.201664656</v>
      </c>
      <c r="N177" s="2605">
        <f t="shared" si="10"/>
        <v>-14055.10703391023</v>
      </c>
      <c r="O177" s="786"/>
    </row>
    <row r="178" spans="2:15">
      <c r="B178" s="788">
        <f>+B177+1</f>
        <v>108</v>
      </c>
      <c r="C178" s="789"/>
      <c r="D178" s="658" t="s">
        <v>424</v>
      </c>
      <c r="E178" s="888" t="str">
        <f>"(ln "&amp;B172&amp;" * ln "&amp;B173&amp;")"</f>
        <v>(ln 103 * ln 104)</v>
      </c>
      <c r="F178" s="888"/>
      <c r="G178" s="804">
        <f>G172*G173</f>
        <v>-1888674.7903132418</v>
      </c>
      <c r="H178" s="791"/>
      <c r="I178" s="789" t="s">
        <v>865</v>
      </c>
      <c r="J178" s="806">
        <f>+J63</f>
        <v>0.1920306930200528</v>
      </c>
      <c r="K178" s="814"/>
      <c r="L178" s="804">
        <f>+G178*J178</f>
        <v>-362683.52887335472</v>
      </c>
      <c r="M178" s="2604">
        <v>-362683.52887335472</v>
      </c>
      <c r="N178" s="2605">
        <f t="shared" si="10"/>
        <v>0</v>
      </c>
      <c r="O178" s="786"/>
    </row>
    <row r="179" spans="2:15">
      <c r="B179" s="788">
        <f>+B178+1</f>
        <v>109</v>
      </c>
      <c r="C179" s="789"/>
      <c r="D179" s="673" t="s">
        <v>505</v>
      </c>
      <c r="E179" s="888" t="str">
        <f>"(ln "&amp;B172&amp;" * ln "&amp;B174&amp;")"</f>
        <v>(ln 103 * ln 105)</v>
      </c>
      <c r="F179" s="888"/>
      <c r="G179" s="804">
        <f>G172*G174</f>
        <v>-21196987.363019701</v>
      </c>
      <c r="H179" s="791"/>
      <c r="I179" s="823" t="s">
        <v>271</v>
      </c>
      <c r="J179" s="806"/>
      <c r="K179" s="814"/>
      <c r="L179" s="804">
        <f>G172*L174</f>
        <v>-4665638.9935035612</v>
      </c>
      <c r="M179" s="2604">
        <v>-4665638.9935035612</v>
      </c>
      <c r="N179" s="2605">
        <f t="shared" si="10"/>
        <v>0</v>
      </c>
      <c r="O179" s="786"/>
    </row>
    <row r="180" spans="2:15">
      <c r="B180" s="788">
        <f>+B179+1</f>
        <v>110</v>
      </c>
      <c r="C180" s="789"/>
      <c r="D180" s="673" t="s">
        <v>794</v>
      </c>
      <c r="E180" s="888" t="str">
        <f>"(ln "&amp;B172&amp;" * ln "&amp;B175&amp;")"</f>
        <v>(ln 103 * ln 106)</v>
      </c>
      <c r="F180" s="888"/>
      <c r="G180" s="804">
        <f>G172*G175</f>
        <v>2494807.6299951659</v>
      </c>
      <c r="H180" s="791"/>
      <c r="I180" s="823" t="s">
        <v>271</v>
      </c>
      <c r="J180" s="806"/>
      <c r="K180" s="814"/>
      <c r="L180" s="804">
        <f>G172*L175</f>
        <v>357516.58636863431</v>
      </c>
      <c r="M180" s="2604">
        <v>357516.58636863431</v>
      </c>
      <c r="N180" s="2605">
        <f t="shared" si="10"/>
        <v>0</v>
      </c>
      <c r="O180" s="786"/>
    </row>
    <row r="181" spans="2:15">
      <c r="B181" s="788"/>
      <c r="C181" s="789"/>
      <c r="D181" s="673"/>
      <c r="E181" s="888"/>
      <c r="F181" s="888"/>
      <c r="G181" s="804"/>
      <c r="H181" s="791"/>
      <c r="I181" s="890"/>
      <c r="J181" s="806"/>
      <c r="K181" s="814"/>
      <c r="L181" s="804"/>
      <c r="M181" s="2604"/>
      <c r="N181" s="2605">
        <f t="shared" si="10"/>
        <v>0</v>
      </c>
      <c r="O181" s="786"/>
    </row>
    <row r="182" spans="2:15">
      <c r="B182" s="788">
        <f>+B180+1</f>
        <v>111</v>
      </c>
      <c r="C182" s="789"/>
      <c r="D182" s="878" t="s">
        <v>216</v>
      </c>
      <c r="E182" s="786" t="str">
        <f>"(sum lns "&amp;B177&amp;" to "&amp;B180&amp;")"</f>
        <v>(sum lns 107 to 110)</v>
      </c>
      <c r="F182" s="888"/>
      <c r="G182" s="890">
        <f>SUM(G177:G180)</f>
        <v>56759764.62854369</v>
      </c>
      <c r="H182" s="791"/>
      <c r="I182" s="823" t="s">
        <v>256</v>
      </c>
      <c r="J182" s="891"/>
      <c r="K182" s="814"/>
      <c r="L182" s="814">
        <f>SUM(L177:L180)</f>
        <v>10948828.158622464</v>
      </c>
      <c r="M182" s="2604">
        <v>10962883.265656374</v>
      </c>
      <c r="N182" s="2605">
        <f t="shared" si="10"/>
        <v>-14055.10703391023</v>
      </c>
      <c r="O182" s="786"/>
    </row>
    <row r="183" spans="2:15">
      <c r="B183" s="788"/>
      <c r="C183" s="789"/>
      <c r="D183" s="835"/>
      <c r="E183" s="786"/>
      <c r="F183" s="786"/>
      <c r="G183" s="786"/>
      <c r="H183" s="786"/>
      <c r="I183" s="805"/>
      <c r="J183" s="876"/>
      <c r="K183" s="786"/>
      <c r="L183" s="786"/>
      <c r="M183" s="2604"/>
      <c r="N183" s="2605">
        <f t="shared" si="10"/>
        <v>0</v>
      </c>
      <c r="O183" s="786"/>
    </row>
    <row r="184" spans="2:15">
      <c r="B184" s="788">
        <f>+B182+1</f>
        <v>112</v>
      </c>
      <c r="C184" s="789"/>
      <c r="D184" s="878" t="s">
        <v>337</v>
      </c>
      <c r="E184" s="878" t="str">
        <f>"(ln "&amp;B113&amp;" * ln "&amp;B238&amp;")"</f>
        <v>(ln 63 * ln 144)</v>
      </c>
      <c r="F184" s="858"/>
      <c r="G184" s="814">
        <f>+$L238*G113</f>
        <v>351242896.64796352</v>
      </c>
      <c r="H184" s="786"/>
      <c r="I184" s="823"/>
      <c r="J184" s="814"/>
      <c r="K184" s="814"/>
      <c r="L184" s="814">
        <f>+L238*L113</f>
        <v>70927493.330167443</v>
      </c>
      <c r="M184" s="2604">
        <v>70991316.432831869</v>
      </c>
      <c r="N184" s="2605">
        <f t="shared" si="10"/>
        <v>-63823.102664425969</v>
      </c>
    </row>
    <row r="185" spans="2:15">
      <c r="B185" s="788"/>
      <c r="C185" s="789"/>
      <c r="D185" s="878"/>
      <c r="G185" s="814"/>
      <c r="H185" s="814"/>
      <c r="I185" s="823"/>
      <c r="J185" s="823"/>
      <c r="K185" s="814"/>
      <c r="L185" s="814"/>
      <c r="M185" s="2604"/>
      <c r="N185" s="2605">
        <f t="shared" si="10"/>
        <v>0</v>
      </c>
    </row>
    <row r="186" spans="2:15">
      <c r="B186" s="788">
        <f>+B184+1</f>
        <v>113</v>
      </c>
      <c r="C186" s="789"/>
      <c r="D186" s="892" t="str">
        <f>"INTEREST ON IPP CONTRIBUTION FOR CONST. (Note E) (Worksheet E, ln "&amp;'SWEPCO WS E IPP Credits'!A12&amp;")"</f>
        <v>INTEREST ON IPP CONTRIBUTION FOR CONST. (Note E) (Worksheet E, ln 2)</v>
      </c>
      <c r="F186" s="875"/>
      <c r="G186" s="814">
        <f>'SWEPCO WS E IPP Credits'!C12</f>
        <v>0</v>
      </c>
      <c r="H186" s="814"/>
      <c r="I186" s="861" t="s">
        <v>271</v>
      </c>
      <c r="J186" s="806">
        <v>1</v>
      </c>
      <c r="K186" s="842"/>
      <c r="L186" s="814">
        <f>+J186*G186</f>
        <v>0</v>
      </c>
      <c r="M186" s="2604">
        <v>0</v>
      </c>
      <c r="N186" s="2605">
        <f t="shared" si="10"/>
        <v>0</v>
      </c>
    </row>
    <row r="187" spans="2:15" ht="18.75" thickBot="1">
      <c r="B187" s="788"/>
      <c r="C187" s="789"/>
      <c r="D187" s="835"/>
      <c r="G187" s="843"/>
      <c r="H187" s="893"/>
      <c r="I187" s="823"/>
      <c r="J187" s="823"/>
      <c r="K187" s="814"/>
      <c r="L187" s="843"/>
      <c r="M187" s="2604"/>
      <c r="N187" s="2605">
        <f t="shared" si="10"/>
        <v>0</v>
      </c>
    </row>
    <row r="188" spans="2:15" ht="18.75" thickBot="1">
      <c r="B188" s="788">
        <f>+B186+1</f>
        <v>114</v>
      </c>
      <c r="C188" s="789"/>
      <c r="D188" s="783" t="s">
        <v>146</v>
      </c>
      <c r="E188" s="894"/>
      <c r="F188" s="894"/>
      <c r="G188" s="862">
        <f>G150+G156+G165+G182+G184+G186</f>
        <v>663084776.9615072</v>
      </c>
      <c r="H188" s="814"/>
      <c r="I188" s="823"/>
      <c r="J188" s="860"/>
      <c r="K188" s="814"/>
      <c r="L188" s="862">
        <f>L150+L156+L165+L182+L184+L186</f>
        <v>167539603.41354838</v>
      </c>
      <c r="M188" s="2604">
        <v>167617481.62324673</v>
      </c>
      <c r="N188" s="2605">
        <f t="shared" si="10"/>
        <v>-77878.209698349237</v>
      </c>
    </row>
    <row r="189" spans="2:15" ht="18.75" thickTop="1">
      <c r="B189" s="788">
        <f>+B188+1</f>
        <v>115</v>
      </c>
      <c r="C189" s="789"/>
      <c r="D189" s="783" t="str">
        <f>"    (sum lns "&amp;B150&amp;", "&amp;B156&amp;", "&amp;B165&amp;", "&amp;B182&amp;", "&amp;B184&amp;", "&amp;B186&amp;")"</f>
        <v xml:space="preserve">    (sum lns 84, 89, 97, 111, 112, 113)</v>
      </c>
      <c r="E189" s="894"/>
      <c r="F189" s="894"/>
      <c r="G189" s="804"/>
      <c r="H189" s="814"/>
      <c r="I189" s="814"/>
      <c r="J189" s="860"/>
      <c r="K189" s="814"/>
      <c r="L189" s="804"/>
      <c r="M189" s="2604"/>
      <c r="N189" s="2605">
        <f t="shared" si="10"/>
        <v>0</v>
      </c>
    </row>
    <row r="190" spans="2:15">
      <c r="B190" s="788"/>
      <c r="C190" s="789"/>
      <c r="D190" s="783"/>
      <c r="E190" s="894"/>
      <c r="F190" s="894"/>
      <c r="G190" s="804"/>
      <c r="H190" s="814"/>
      <c r="I190" s="814"/>
      <c r="J190" s="860"/>
      <c r="K190" s="814"/>
      <c r="L190" s="804"/>
      <c r="M190" s="2604"/>
      <c r="N190" s="2605">
        <f t="shared" si="10"/>
        <v>0</v>
      </c>
    </row>
    <row r="191" spans="2:15">
      <c r="B191" s="788">
        <f>+B189+1</f>
        <v>116</v>
      </c>
      <c r="C191" s="789"/>
      <c r="D191" s="783" t="s">
        <v>414</v>
      </c>
      <c r="F191" s="894"/>
      <c r="G191" s="820">
        <f>+'SWEPCO WS K State Taxes'!I48</f>
        <v>268137.67728001729</v>
      </c>
      <c r="H191" s="814"/>
      <c r="I191" s="823" t="s">
        <v>271</v>
      </c>
      <c r="J191" s="860"/>
      <c r="K191" s="814"/>
      <c r="L191" s="820">
        <f>+'SWEPCO WS K State Taxes'!K48</f>
        <v>67749.986471661759</v>
      </c>
      <c r="M191" s="2604">
        <v>67781.465996240848</v>
      </c>
      <c r="N191" s="2605">
        <f t="shared" si="10"/>
        <v>-31.47952457908832</v>
      </c>
    </row>
    <row r="192" spans="2:15">
      <c r="B192" s="788"/>
      <c r="C192" s="791"/>
      <c r="D192" s="791"/>
      <c r="E192" s="791"/>
      <c r="F192" s="791"/>
      <c r="G192" s="791"/>
      <c r="H192" s="791"/>
      <c r="I192" s="782"/>
      <c r="J192" s="849"/>
      <c r="K192" s="782"/>
      <c r="M192" s="2604"/>
      <c r="N192" s="2605">
        <f t="shared" si="10"/>
        <v>0</v>
      </c>
    </row>
    <row r="193" spans="2:14" ht="18.75" thickBot="1">
      <c r="B193" s="788">
        <f>+B191+1</f>
        <v>117</v>
      </c>
      <c r="C193" s="789"/>
      <c r="D193" s="662" t="s">
        <v>911</v>
      </c>
      <c r="E193" s="786" t="str">
        <f>"(ln "&amp;B188&amp;" + "&amp;B191&amp;")"</f>
        <v>(ln 114 + 116)</v>
      </c>
      <c r="G193" s="895">
        <f>+G188+G191</f>
        <v>663352914.63878727</v>
      </c>
      <c r="J193" s="860"/>
      <c r="L193" s="895">
        <f>+L188+L191</f>
        <v>167607353.40002003</v>
      </c>
      <c r="M193" s="2604">
        <v>167685263.08924296</v>
      </c>
      <c r="N193" s="2605">
        <f t="shared" si="10"/>
        <v>-77909.689222931862</v>
      </c>
    </row>
    <row r="194" spans="2:14" ht="18.75" thickTop="1">
      <c r="B194" s="788"/>
      <c r="C194" s="789"/>
      <c r="D194" s="783"/>
      <c r="F194" s="896"/>
      <c r="M194" s="2202"/>
      <c r="N194" s="2202"/>
    </row>
    <row r="195" spans="2:14">
      <c r="B195" s="788"/>
      <c r="C195" s="789"/>
      <c r="F195" s="896"/>
      <c r="M195" s="2202"/>
      <c r="N195" s="2202"/>
    </row>
    <row r="196" spans="2:14">
      <c r="B196" s="788"/>
      <c r="C196" s="789"/>
      <c r="D196" s="783"/>
      <c r="F196" s="863" t="str">
        <f>F116</f>
        <v xml:space="preserve">AEP West SPP Member Operating Companies </v>
      </c>
      <c r="M196" s="2202"/>
      <c r="N196" s="2202"/>
    </row>
    <row r="197" spans="2:14">
      <c r="B197" s="788"/>
      <c r="C197" s="789"/>
      <c r="D197" s="783"/>
      <c r="F197" s="863" t="str">
        <f>F117</f>
        <v>Transmission Cost of Service Formula Rate</v>
      </c>
      <c r="M197" s="2202"/>
      <c r="N197" s="2202"/>
    </row>
    <row r="198" spans="2:14">
      <c r="B198" s="662"/>
      <c r="C198" s="789"/>
      <c r="F198" s="863" t="str">
        <f>F118</f>
        <v>Utilizing Actual / Projected Cost Data for the 2018 Rate Year</v>
      </c>
      <c r="M198" s="2202"/>
      <c r="N198" s="2202"/>
    </row>
    <row r="199" spans="2:14">
      <c r="B199" s="788"/>
      <c r="C199" s="789"/>
      <c r="E199" s="863"/>
      <c r="F199" s="863"/>
      <c r="G199" s="863"/>
      <c r="H199" s="863"/>
      <c r="I199" s="863"/>
      <c r="J199" s="863"/>
      <c r="K199" s="863"/>
      <c r="M199" s="2202"/>
      <c r="N199" s="2202"/>
    </row>
    <row r="200" spans="2:14">
      <c r="B200" s="788"/>
      <c r="C200" s="789"/>
      <c r="E200" s="783"/>
      <c r="F200" s="863" t="str">
        <f>F120</f>
        <v>SOUTHWESTERN ELECTRIC POWER COMPANY</v>
      </c>
      <c r="G200" s="783"/>
      <c r="H200" s="783"/>
      <c r="I200" s="783"/>
      <c r="J200" s="783"/>
      <c r="K200" s="783"/>
      <c r="L200" s="783"/>
      <c r="M200" s="2202"/>
      <c r="N200" s="2202"/>
    </row>
    <row r="201" spans="2:14">
      <c r="B201" s="788"/>
      <c r="C201" s="789"/>
      <c r="E201" s="783"/>
      <c r="F201" s="863"/>
      <c r="G201" s="814"/>
      <c r="H201" s="783"/>
      <c r="I201" s="783"/>
      <c r="J201" s="783"/>
      <c r="K201" s="783"/>
      <c r="L201" s="814"/>
      <c r="M201" s="2202"/>
      <c r="N201" s="2202"/>
    </row>
    <row r="202" spans="2:14">
      <c r="B202" s="788"/>
      <c r="C202" s="789"/>
      <c r="F202" s="864" t="s">
        <v>220</v>
      </c>
      <c r="H202" s="655"/>
      <c r="I202" s="655"/>
      <c r="J202" s="655"/>
      <c r="K202" s="655"/>
      <c r="L202" s="655"/>
      <c r="M202" s="2202"/>
      <c r="N202" s="2202"/>
    </row>
    <row r="203" spans="2:14">
      <c r="B203" s="788"/>
      <c r="C203" s="789"/>
      <c r="D203" s="897"/>
      <c r="E203" s="655"/>
      <c r="F203" s="655"/>
      <c r="G203" s="655"/>
      <c r="H203" s="655"/>
      <c r="I203" s="655"/>
      <c r="J203" s="655"/>
      <c r="K203" s="655"/>
      <c r="L203" s="655"/>
      <c r="M203" s="2202"/>
      <c r="N203" s="2202"/>
    </row>
    <row r="204" spans="2:14">
      <c r="B204" s="788" t="s">
        <v>258</v>
      </c>
      <c r="C204" s="789"/>
      <c r="D204" s="897"/>
      <c r="E204" s="655"/>
      <c r="F204" s="655"/>
      <c r="G204" s="655"/>
      <c r="H204" s="655"/>
      <c r="I204" s="655"/>
      <c r="J204" s="655"/>
      <c r="K204" s="655"/>
      <c r="L204" s="655"/>
      <c r="M204" s="2202"/>
      <c r="N204" s="2202"/>
    </row>
    <row r="205" spans="2:14" ht="18.75" thickBot="1">
      <c r="B205" s="795" t="s">
        <v>259</v>
      </c>
      <c r="C205" s="796"/>
      <c r="D205" s="783" t="s">
        <v>1376</v>
      </c>
      <c r="E205" s="655"/>
      <c r="F205" s="655"/>
      <c r="G205" s="655"/>
      <c r="H205" s="655"/>
      <c r="I205" s="655"/>
      <c r="J205" s="655"/>
      <c r="M205" s="2202"/>
      <c r="N205" s="2202"/>
    </row>
    <row r="206" spans="2:14">
      <c r="B206" s="788">
        <f>+B193+1</f>
        <v>118</v>
      </c>
      <c r="C206" s="789"/>
      <c r="D206" s="655" t="s">
        <v>307</v>
      </c>
      <c r="E206" s="898" t="str">
        <f>"(ln "&amp;B56&amp;")"</f>
        <v>(ln 16)</v>
      </c>
      <c r="F206" s="659"/>
      <c r="H206" s="873"/>
      <c r="I206" s="873"/>
      <c r="J206" s="873"/>
      <c r="K206" s="873"/>
      <c r="L206" s="804">
        <f>+G56</f>
        <v>1774860127.5</v>
      </c>
      <c r="M206" s="2202"/>
      <c r="N206" s="2202"/>
    </row>
    <row r="207" spans="2:14">
      <c r="B207" s="788">
        <f>+B206+1</f>
        <v>119</v>
      </c>
      <c r="C207" s="789"/>
      <c r="D207" s="899" t="str">
        <f>"  Less transmission plant excluded from SPP Tariff  (Worksheet A-1, ln "&amp;'SWEPCO WS A-1 - Plant'!A44&amp;" Col. (F))  (Note Q)"</f>
        <v xml:space="preserve">  Less transmission plant excluded from SPP Tariff  (Worksheet A-1, ln 28 Col. (F))  (Note Q)</v>
      </c>
      <c r="E207" s="658"/>
      <c r="F207" s="658"/>
      <c r="G207" s="900"/>
      <c r="H207" s="658"/>
      <c r="I207" s="658"/>
      <c r="J207" s="658"/>
      <c r="K207" s="658"/>
      <c r="L207" s="820">
        <f>+'SWEPCO WS A-1 - Plant'!G44</f>
        <v>51123529.537942037</v>
      </c>
      <c r="M207" s="2202"/>
      <c r="N207" s="2202"/>
    </row>
    <row r="208" spans="2:14" ht="18.75" thickBot="1">
      <c r="B208" s="788">
        <f>+B207+1</f>
        <v>120</v>
      </c>
      <c r="C208" s="789"/>
      <c r="D208" s="659" t="str">
        <f>"  Less transmission plant included in OATT Ancillary Services (Worksheet A-1, ln "&amp;'SWEPCO WS A-1 - Plant'!A44&amp;", Col. (E))  (Note R)"</f>
        <v xml:space="preserve">  Less transmission plant included in OATT Ancillary Services (Worksheet A-1, ln 28, Col. (E))  (Note R)</v>
      </c>
      <c r="E208" s="659"/>
      <c r="F208" s="659"/>
      <c r="G208" s="834"/>
      <c r="H208" s="873"/>
      <c r="I208" s="873"/>
      <c r="J208" s="834"/>
      <c r="K208" s="873"/>
      <c r="L208" s="901">
        <f>+'SWEPCO WS A-1 - Plant'!F44</f>
        <v>38210859.5</v>
      </c>
      <c r="M208" s="2202"/>
      <c r="N208" s="2202"/>
    </row>
    <row r="209" spans="2:14">
      <c r="B209" s="788">
        <f>+B208+1</f>
        <v>121</v>
      </c>
      <c r="C209" s="789"/>
      <c r="D209" s="655" t="s">
        <v>86</v>
      </c>
      <c r="E209" s="902" t="str">
        <f>"(ln "&amp;B206&amp;" - ln "&amp;B207&amp;" - ln "&amp;B208&amp;")"</f>
        <v>(ln 118 - ln 119 - ln 120)</v>
      </c>
      <c r="F209" s="659"/>
      <c r="H209" s="873"/>
      <c r="I209" s="873"/>
      <c r="J209" s="834"/>
      <c r="K209" s="873"/>
      <c r="L209" s="804">
        <f>L206-L207-L208</f>
        <v>1685525738.4620581</v>
      </c>
      <c r="M209" s="2202"/>
      <c r="N209" s="2202"/>
    </row>
    <row r="210" spans="2:14">
      <c r="B210" s="788"/>
      <c r="C210" s="789"/>
      <c r="E210" s="659"/>
      <c r="F210" s="659"/>
      <c r="G210" s="834"/>
      <c r="H210" s="873"/>
      <c r="I210" s="873"/>
      <c r="J210" s="834"/>
      <c r="K210" s="873"/>
      <c r="L210" s="658"/>
      <c r="M210" s="2202"/>
      <c r="N210" s="2202"/>
    </row>
    <row r="211" spans="2:14">
      <c r="B211" s="788">
        <f>+B209+1</f>
        <v>122</v>
      </c>
      <c r="C211" s="789"/>
      <c r="D211" s="655" t="s">
        <v>87</v>
      </c>
      <c r="E211" s="896" t="str">
        <f>"(ln "&amp;B209&amp;" / ln "&amp;B206&amp;")"</f>
        <v>(ln 121 / ln 118)</v>
      </c>
      <c r="F211" s="903"/>
      <c r="H211" s="904"/>
      <c r="I211" s="905"/>
      <c r="J211" s="905"/>
      <c r="K211" s="906" t="s">
        <v>284</v>
      </c>
      <c r="L211" s="907">
        <f>IF(L206&gt;0,L209/L206,0)</f>
        <v>0.94966680041216833</v>
      </c>
      <c r="M211" s="2202"/>
      <c r="N211" s="2202"/>
    </row>
    <row r="212" spans="2:14">
      <c r="B212" s="788"/>
      <c r="C212" s="789"/>
      <c r="D212" s="897"/>
      <c r="E212" s="655"/>
      <c r="F212" s="655"/>
      <c r="G212" s="799"/>
      <c r="H212" s="655"/>
      <c r="I212" s="789"/>
      <c r="J212" s="655"/>
      <c r="K212" s="655"/>
      <c r="L212" s="655"/>
      <c r="M212" s="2202"/>
      <c r="N212" s="2202"/>
    </row>
    <row r="213" spans="2:14" ht="45.75">
      <c r="B213" s="788">
        <f>B211+1</f>
        <v>123</v>
      </c>
      <c r="C213" s="789"/>
      <c r="D213" s="783" t="s">
        <v>221</v>
      </c>
      <c r="E213" s="805" t="s">
        <v>56</v>
      </c>
      <c r="F213" s="805" t="s">
        <v>323</v>
      </c>
      <c r="G213" s="908" t="s">
        <v>355</v>
      </c>
      <c r="H213" s="863" t="s">
        <v>260</v>
      </c>
      <c r="I213" s="805"/>
      <c r="J213" s="786"/>
      <c r="K213" s="786"/>
      <c r="L213" s="786"/>
      <c r="M213" s="2202"/>
      <c r="N213" s="2202"/>
    </row>
    <row r="214" spans="2:14">
      <c r="B214" s="788">
        <f t="shared" ref="B214:B219" si="14">+B213+1</f>
        <v>124</v>
      </c>
      <c r="C214" s="789"/>
      <c r="D214" s="783" t="s">
        <v>268</v>
      </c>
      <c r="E214" s="786" t="s">
        <v>59</v>
      </c>
      <c r="F214" s="1702">
        <v>45527944</v>
      </c>
      <c r="G214" s="1702">
        <v>16009205</v>
      </c>
      <c r="H214" s="820">
        <f>+F214+G214</f>
        <v>61537149</v>
      </c>
      <c r="I214" s="805" t="s">
        <v>269</v>
      </c>
      <c r="J214" s="806">
        <v>0</v>
      </c>
      <c r="K214" s="909"/>
      <c r="L214" s="814">
        <f>(F214+G214)*J214</f>
        <v>0</v>
      </c>
      <c r="M214" s="2202"/>
      <c r="N214" s="2202"/>
    </row>
    <row r="215" spans="2:14">
      <c r="B215" s="788">
        <f>+B214+1</f>
        <v>125</v>
      </c>
      <c r="C215" s="789"/>
      <c r="D215" s="835" t="s">
        <v>270</v>
      </c>
      <c r="E215" s="786" t="s">
        <v>149</v>
      </c>
      <c r="F215" s="1702">
        <v>4115912</v>
      </c>
      <c r="G215" s="1702">
        <v>5469602</v>
      </c>
      <c r="H215" s="820">
        <f>+F215+G215</f>
        <v>9585514</v>
      </c>
      <c r="I215" s="789" t="s">
        <v>262</v>
      </c>
      <c r="J215" s="806">
        <f>+L211</f>
        <v>0.94966680041216833</v>
      </c>
      <c r="L215" s="804">
        <f>(F215+G215)*J215</f>
        <v>9103044.4106860459</v>
      </c>
      <c r="M215" s="2202"/>
      <c r="N215" s="2202"/>
    </row>
    <row r="216" spans="2:14">
      <c r="B216" s="788">
        <f>+B215+1</f>
        <v>126</v>
      </c>
      <c r="C216" s="789"/>
      <c r="D216" s="835" t="s">
        <v>147</v>
      </c>
      <c r="E216" s="786" t="s">
        <v>148</v>
      </c>
      <c r="F216" s="1702">
        <v>0</v>
      </c>
      <c r="G216" s="1702">
        <v>0</v>
      </c>
      <c r="H216" s="820">
        <f>+F216+G216</f>
        <v>0</v>
      </c>
      <c r="I216" s="805" t="s">
        <v>269</v>
      </c>
      <c r="J216" s="806">
        <v>0</v>
      </c>
      <c r="K216" s="909"/>
      <c r="L216" s="814">
        <f>(F216+G216)*J216</f>
        <v>0</v>
      </c>
      <c r="M216" s="2202"/>
      <c r="N216" s="2202"/>
    </row>
    <row r="217" spans="2:14">
      <c r="B217" s="788">
        <f t="shared" si="14"/>
        <v>127</v>
      </c>
      <c r="C217" s="789"/>
      <c r="D217" s="835" t="s">
        <v>272</v>
      </c>
      <c r="E217" s="786" t="s">
        <v>57</v>
      </c>
      <c r="F217" s="1702">
        <v>29448387</v>
      </c>
      <c r="G217" s="1702">
        <v>1979380</v>
      </c>
      <c r="H217" s="820">
        <f>+F217+G217</f>
        <v>31427767</v>
      </c>
      <c r="I217" s="805" t="s">
        <v>269</v>
      </c>
      <c r="J217" s="806">
        <v>0</v>
      </c>
      <c r="K217" s="909"/>
      <c r="L217" s="814">
        <f>(F217+G217)*J217</f>
        <v>0</v>
      </c>
      <c r="M217" s="2202"/>
      <c r="N217" s="2202"/>
    </row>
    <row r="218" spans="2:14" ht="18.75" thickBot="1">
      <c r="B218" s="788">
        <f t="shared" si="14"/>
        <v>128</v>
      </c>
      <c r="C218" s="789"/>
      <c r="D218" s="835" t="s">
        <v>338</v>
      </c>
      <c r="E218" s="910" t="s">
        <v>58</v>
      </c>
      <c r="F218" s="1702">
        <v>8068420</v>
      </c>
      <c r="G218" s="1702">
        <v>6766269</v>
      </c>
      <c r="H218" s="901">
        <f>+F218+G218</f>
        <v>14834689</v>
      </c>
      <c r="I218" s="805" t="s">
        <v>269</v>
      </c>
      <c r="J218" s="806">
        <v>0</v>
      </c>
      <c r="K218" s="909"/>
      <c r="L218" s="843">
        <f>(F218+G218)*J218</f>
        <v>0</v>
      </c>
      <c r="M218" s="2202"/>
      <c r="N218" s="2202"/>
    </row>
    <row r="219" spans="2:14">
      <c r="B219" s="788">
        <f t="shared" si="14"/>
        <v>129</v>
      </c>
      <c r="C219" s="789"/>
      <c r="D219" s="835" t="s">
        <v>260</v>
      </c>
      <c r="E219" s="835" t="str">
        <f>"(sum lns "&amp;B214&amp;" to "&amp;B218&amp;")"</f>
        <v>(sum lns 124 to 128)</v>
      </c>
      <c r="F219" s="871">
        <f>SUM(F214:F218)</f>
        <v>87160663</v>
      </c>
      <c r="G219" s="871">
        <f>SUM(G214:G218)</f>
        <v>30224456</v>
      </c>
      <c r="H219" s="786">
        <f>SUM(H214:H218)</f>
        <v>117385119</v>
      </c>
      <c r="I219" s="805"/>
      <c r="J219" s="786"/>
      <c r="K219" s="786"/>
      <c r="L219" s="814">
        <f>SUM(L214:L218)</f>
        <v>9103044.4106860459</v>
      </c>
      <c r="M219" s="2202"/>
      <c r="N219" s="2202"/>
    </row>
    <row r="220" spans="2:14">
      <c r="B220" s="788"/>
      <c r="C220" s="789"/>
      <c r="D220" s="835" t="s">
        <v>256</v>
      </c>
      <c r="E220" s="786" t="s">
        <v>256</v>
      </c>
      <c r="F220" s="786"/>
      <c r="H220" s="786"/>
      <c r="I220" s="863"/>
      <c r="M220" s="2202"/>
      <c r="N220" s="2202"/>
    </row>
    <row r="221" spans="2:14">
      <c r="B221" s="788">
        <f>B219+1</f>
        <v>130</v>
      </c>
      <c r="C221" s="789"/>
      <c r="D221" s="835" t="s">
        <v>222</v>
      </c>
      <c r="E221" s="786"/>
      <c r="F221" s="786"/>
      <c r="G221" s="786"/>
      <c r="H221" s="786"/>
      <c r="I221" s="863"/>
      <c r="K221" s="848" t="s">
        <v>223</v>
      </c>
      <c r="L221" s="845">
        <f>IF(H219&lt;&gt;0,L219/(F219+G219),0)</f>
        <v>7.7548538419814919E-2</v>
      </c>
      <c r="M221" s="2202"/>
      <c r="N221" s="2202"/>
    </row>
    <row r="222" spans="2:14">
      <c r="B222" s="788"/>
      <c r="C222" s="789"/>
      <c r="D222" s="835"/>
      <c r="E222" s="786"/>
      <c r="F222" s="786"/>
      <c r="G222" s="786"/>
      <c r="H222" s="786"/>
      <c r="I222" s="805"/>
      <c r="J222" s="786"/>
      <c r="K222" s="786"/>
      <c r="L222" s="786"/>
      <c r="M222" s="2202"/>
      <c r="N222" s="2202"/>
    </row>
    <row r="223" spans="2:14">
      <c r="B223" s="788"/>
      <c r="C223" s="789"/>
      <c r="D223" s="835"/>
      <c r="E223" s="896"/>
      <c r="F223" s="786"/>
      <c r="H223" s="786"/>
      <c r="I223" s="786"/>
      <c r="J223" s="786"/>
      <c r="K223" s="831"/>
      <c r="L223" s="911"/>
      <c r="M223" s="2202"/>
      <c r="N223" s="2202"/>
    </row>
    <row r="224" spans="2:14" ht="18.75" thickBot="1">
      <c r="B224" s="788">
        <f>+B221+1</f>
        <v>131</v>
      </c>
      <c r="C224" s="789"/>
      <c r="D224" s="835" t="s">
        <v>1377</v>
      </c>
      <c r="E224" s="786"/>
      <c r="F224" s="786"/>
      <c r="G224" s="786"/>
      <c r="H224" s="786"/>
      <c r="I224" s="786"/>
      <c r="J224" s="786"/>
      <c r="K224" s="786"/>
      <c r="L224" s="912" t="s">
        <v>285</v>
      </c>
      <c r="M224" s="2202"/>
      <c r="N224" s="2202"/>
    </row>
    <row r="225" spans="2:19">
      <c r="B225" s="788">
        <f t="shared" ref="B225:B232" si="15">+B224+1</f>
        <v>132</v>
      </c>
      <c r="C225" s="789"/>
      <c r="D225" s="786" t="s">
        <v>358</v>
      </c>
      <c r="E225" s="662" t="str">
        <f>"Long Term Interest (Worksheet M, ln. "&amp;'SWEPCO WS M - Cost of Capital'!A58&amp;", col. "&amp;'SWEPCO WS M - Cost of Capital'!E48&amp;")"</f>
        <v>Long Term Interest (Worksheet M, ln. 37, col. (d))</v>
      </c>
      <c r="F225" s="786"/>
      <c r="G225" s="786"/>
      <c r="H225" s="786"/>
      <c r="I225" s="786"/>
      <c r="J225" s="786"/>
      <c r="K225" s="786"/>
      <c r="L225" s="814">
        <f>+'SWEPCO WS M - Cost of Capital'!E58</f>
        <v>115421371.074</v>
      </c>
      <c r="M225" s="2202"/>
      <c r="N225" s="2202"/>
    </row>
    <row r="226" spans="2:19">
      <c r="B226" s="788">
        <f t="shared" si="15"/>
        <v>133</v>
      </c>
      <c r="C226" s="789"/>
      <c r="D226" s="786" t="s">
        <v>359</v>
      </c>
      <c r="E226" s="662" t="str">
        <f>"Preferred Stock Dividends (Worksheet M, ln. "&amp;'SWEPCO WS M - Cost of Capital'!A87&amp;", col. "&amp;'SWEPCO WS M - Cost of Capital'!E48&amp;")"</f>
        <v>Preferred Stock Dividends (Worksheet M, ln. 57, col. (d))</v>
      </c>
      <c r="F226" s="786"/>
      <c r="G226" s="786"/>
      <c r="H226" s="786"/>
      <c r="I226" s="786"/>
      <c r="J226" s="786"/>
      <c r="K226" s="786"/>
      <c r="L226" s="814">
        <f>+'SWEPCO WS M - Cost of Capital'!E87</f>
        <v>0</v>
      </c>
      <c r="M226" s="2202"/>
      <c r="N226" s="2202"/>
    </row>
    <row r="227" spans="2:19" ht="18.75" thickBot="1">
      <c r="B227" s="788">
        <f t="shared" si="15"/>
        <v>134</v>
      </c>
      <c r="C227" s="789"/>
      <c r="D227" s="913" t="s">
        <v>365</v>
      </c>
      <c r="E227" s="786"/>
      <c r="F227" s="786"/>
      <c r="G227" s="786"/>
      <c r="H227" s="791"/>
      <c r="I227" s="791"/>
      <c r="J227" s="791"/>
      <c r="K227" s="786"/>
      <c r="L227" s="914" t="s">
        <v>182</v>
      </c>
      <c r="M227" s="2202"/>
      <c r="N227" s="2202"/>
    </row>
    <row r="228" spans="2:19">
      <c r="B228" s="788">
        <f t="shared" si="15"/>
        <v>135</v>
      </c>
      <c r="C228" s="789"/>
      <c r="D228" s="786" t="s">
        <v>366</v>
      </c>
      <c r="E228" s="662" t="str">
        <f>"(Worksheet M, ln. "&amp;'SWEPCO WS M - Cost of Capital'!A24&amp;", col. "&amp;'SWEPCO WS M - Cost of Capital'!C9&amp;")"</f>
        <v>(Worksheet M, ln. 14, col. (b))</v>
      </c>
      <c r="F228" s="786"/>
      <c r="G228" s="655"/>
      <c r="H228" s="791"/>
      <c r="I228" s="791"/>
      <c r="J228" s="791"/>
      <c r="K228" s="786"/>
      <c r="L228" s="820">
        <f>+'SWEPCO WS M - Cost of Capital'!C24</f>
        <v>2275010489.1114988</v>
      </c>
      <c r="M228" s="2202"/>
      <c r="N228" s="2202"/>
    </row>
    <row r="229" spans="2:19">
      <c r="B229" s="788">
        <f t="shared" si="15"/>
        <v>136</v>
      </c>
      <c r="C229" s="789"/>
      <c r="D229" s="786" t="str">
        <f>"Less Preferred Stock (ln "&amp;B236&amp;")"</f>
        <v>Less Preferred Stock (ln 142)</v>
      </c>
      <c r="E229" s="662" t="str">
        <f>"(Worksheet M, ln. "&amp;'SWEPCO WS M - Cost of Capital'!A24&amp;", col. "&amp;'SWEPCO WS M - Cost of Capital'!D9&amp;")"</f>
        <v>(Worksheet M, ln. 14, col. (c))</v>
      </c>
      <c r="F229" s="786"/>
      <c r="G229" s="786"/>
      <c r="H229" s="791"/>
      <c r="I229" s="791"/>
      <c r="J229" s="791"/>
      <c r="K229" s="786"/>
      <c r="L229" s="820">
        <f>+'SWEPCO WS M - Cost of Capital'!D24</f>
        <v>0</v>
      </c>
      <c r="M229" s="2202"/>
      <c r="N229" s="2202"/>
    </row>
    <row r="230" spans="2:19">
      <c r="B230" s="788">
        <f t="shared" si="15"/>
        <v>137</v>
      </c>
      <c r="C230" s="789"/>
      <c r="D230" s="786" t="s">
        <v>52</v>
      </c>
      <c r="E230" s="662" t="str">
        <f>"(Worksheet M, ln. "&amp;'SWEPCO WS M - Cost of Capital'!A24&amp;", col. "&amp;'SWEPCO WS M - Cost of Capital'!E9&amp;")"</f>
        <v>(Worksheet M, ln. 14, col. (d))</v>
      </c>
      <c r="F230" s="786"/>
      <c r="G230" s="786"/>
      <c r="H230" s="791"/>
      <c r="I230" s="791"/>
      <c r="J230" s="791"/>
      <c r="K230" s="786"/>
      <c r="L230" s="820">
        <f>+'SWEPCO WS M - Cost of Capital'!E24</f>
        <v>33098000.963</v>
      </c>
      <c r="M230" s="2202"/>
      <c r="N230" s="2202"/>
    </row>
    <row r="231" spans="2:19" ht="18.75" thickBot="1">
      <c r="B231" s="788">
        <f t="shared" si="15"/>
        <v>138</v>
      </c>
      <c r="C231" s="789"/>
      <c r="D231" s="786" t="s">
        <v>367</v>
      </c>
      <c r="E231" s="662" t="str">
        <f>"(Worksheet M, ln. "&amp;'SWEPCO WS M - Cost of Capital'!A24&amp;", col. "&amp;'SWEPCO WS M - Cost of Capital'!F9&amp;")"</f>
        <v>(Worksheet M, ln. 14, col. (e))</v>
      </c>
      <c r="F231" s="786"/>
      <c r="G231" s="786"/>
      <c r="H231" s="791"/>
      <c r="I231" s="791"/>
      <c r="J231" s="791"/>
      <c r="K231" s="786"/>
      <c r="L231" s="901">
        <f>+'SWEPCO WS M - Cost of Capital'!F24</f>
        <v>-4695582.9049999993</v>
      </c>
      <c r="M231" s="2202"/>
      <c r="N231" s="2202"/>
    </row>
    <row r="232" spans="2:19">
      <c r="B232" s="788">
        <f t="shared" si="15"/>
        <v>139</v>
      </c>
      <c r="C232" s="789"/>
      <c r="D232" s="662" t="s">
        <v>368</v>
      </c>
      <c r="E232" s="786" t="str">
        <f>"(ln "&amp;B228&amp;" - ln "&amp;B229&amp;" - ln "&amp;B230&amp;" - ln "&amp;B231&amp;")"</f>
        <v>(ln 135 - ln 136 - ln 137 - ln 138)</v>
      </c>
      <c r="F232" s="800"/>
      <c r="H232" s="655"/>
      <c r="I232" s="655"/>
      <c r="J232" s="655"/>
      <c r="K232" s="655"/>
      <c r="L232" s="804">
        <f>+L228-L229-L230-L231</f>
        <v>2246608071.0534992</v>
      </c>
      <c r="M232" s="2202"/>
      <c r="N232" s="2202"/>
    </row>
    <row r="233" spans="2:19" ht="52.5" customHeight="1">
      <c r="B233" s="788"/>
      <c r="C233" s="789"/>
      <c r="D233" s="835"/>
      <c r="E233" s="786"/>
      <c r="F233" s="786"/>
      <c r="G233" s="915" t="s">
        <v>422</v>
      </c>
      <c r="H233" s="916"/>
      <c r="I233" s="786"/>
      <c r="J233" s="805" t="s">
        <v>286</v>
      </c>
      <c r="K233" s="786"/>
      <c r="L233" s="786"/>
      <c r="M233" s="2202"/>
      <c r="N233" s="2202"/>
    </row>
    <row r="234" spans="2:19" ht="18.75" thickBot="1">
      <c r="B234" s="788">
        <f>+B232+1</f>
        <v>140</v>
      </c>
      <c r="C234" s="789"/>
      <c r="D234" s="835"/>
      <c r="E234" s="797" t="s">
        <v>421</v>
      </c>
      <c r="G234" s="917"/>
      <c r="H234" s="916"/>
      <c r="I234" s="786"/>
      <c r="J234" s="797" t="s">
        <v>413</v>
      </c>
      <c r="K234" s="786"/>
      <c r="L234" s="797" t="s">
        <v>288</v>
      </c>
      <c r="M234" s="2202"/>
      <c r="N234" s="2202"/>
      <c r="O234" s="783"/>
      <c r="P234" s="783"/>
      <c r="Q234" s="783"/>
      <c r="R234" s="783"/>
      <c r="S234" s="783"/>
    </row>
    <row r="235" spans="2:19">
      <c r="B235" s="788">
        <f>+B234+1</f>
        <v>141</v>
      </c>
      <c r="C235" s="789"/>
      <c r="D235" s="786" t="str">
        <f>"Avg Long Term Debt (Worksheet M, ln. "&amp;'SWEPCO WS M - Cost of Capital'!A43&amp;", col. (g))"</f>
        <v>Avg Long Term Debt (Worksheet M, ln. 28, col. (g))</v>
      </c>
      <c r="E235" s="814">
        <f>+'SWEPCO WS M - Cost of Capital'!H43</f>
        <v>2496850000</v>
      </c>
      <c r="G235" s="817">
        <f>IF($E$238&gt;0,E235/$E$238,0)</f>
        <v>0.52637758415886271</v>
      </c>
      <c r="H235" s="916"/>
      <c r="I235" s="918"/>
      <c r="J235" s="819">
        <f>+'SWEPCO WS M - Cost of Capital'!E60</f>
        <v>4.6226794190279752E-2</v>
      </c>
      <c r="L235" s="919">
        <f>J235*G235</f>
        <v>2.4332748249288407E-2</v>
      </c>
      <c r="M235" s="2202"/>
      <c r="N235" s="2202"/>
      <c r="O235" s="783"/>
      <c r="P235" s="783"/>
      <c r="Q235" s="783"/>
      <c r="R235" s="783"/>
      <c r="S235" s="783"/>
    </row>
    <row r="236" spans="2:19">
      <c r="B236" s="788">
        <f>+B235+1</f>
        <v>142</v>
      </c>
      <c r="C236" s="789"/>
      <c r="D236" s="786" t="str">
        <f>"Avg Preferred Stock (Worksheet M, ln. "&amp;'SWEPCO WS M - Cost of Capital'!A24&amp;", col. "&amp;'SWEPCO WS M - Cost of Capital'!D9&amp;")"</f>
        <v>Avg Preferred Stock (Worksheet M, ln. 14, col. (c))</v>
      </c>
      <c r="E236" s="814">
        <f>+'SWEPCO WS M - Cost of Capital'!D24</f>
        <v>0</v>
      </c>
      <c r="G236" s="817">
        <f>IF($E$238&gt;0,E236/$E$238,0)</f>
        <v>0</v>
      </c>
      <c r="H236" s="916"/>
      <c r="I236" s="918"/>
      <c r="J236" s="819">
        <f>IF(E236&gt;0,L226/E236,0)</f>
        <v>0</v>
      </c>
      <c r="L236" s="919">
        <f>J236*G236</f>
        <v>0</v>
      </c>
      <c r="M236" s="2202"/>
      <c r="N236" s="2202"/>
      <c r="O236" s="783"/>
    </row>
    <row r="237" spans="2:19" ht="18.75" thickBot="1">
      <c r="B237" s="788">
        <f>+B236+1</f>
        <v>143</v>
      </c>
      <c r="C237" s="789"/>
      <c r="D237" s="835" t="str">
        <f>"Avg Common Stock (ln "&amp;B232&amp;")"</f>
        <v>Avg Common Stock (ln 139)</v>
      </c>
      <c r="E237" s="843">
        <f>+L232</f>
        <v>2246608071.0534992</v>
      </c>
      <c r="G237" s="817">
        <f>IF($E$238&gt;0,E237/$E$238,0)</f>
        <v>0.47362241584113723</v>
      </c>
      <c r="H237" s="916"/>
      <c r="I237" s="918"/>
      <c r="J237" s="920">
        <v>0.105</v>
      </c>
      <c r="L237" s="921">
        <f>J237*G237</f>
        <v>4.9730353663319404E-2</v>
      </c>
      <c r="M237" s="2202"/>
      <c r="N237" s="2202"/>
      <c r="O237" s="783"/>
    </row>
    <row r="238" spans="2:19">
      <c r="B238" s="788">
        <f>+B237+1</f>
        <v>144</v>
      </c>
      <c r="C238" s="789"/>
      <c r="D238" s="835" t="str">
        <f>"  Total  (sum lns "&amp;B235&amp;" to "&amp;B237&amp;")"</f>
        <v xml:space="preserve">  Total  (sum lns 141 to 143)</v>
      </c>
      <c r="E238" s="814">
        <f>E237+E236+E235</f>
        <v>4743458071.0534992</v>
      </c>
      <c r="G238" s="786" t="s">
        <v>256</v>
      </c>
      <c r="H238" s="916"/>
      <c r="I238" s="786"/>
      <c r="J238" s="791"/>
      <c r="K238" s="922" t="s">
        <v>210</v>
      </c>
      <c r="L238" s="923">
        <f>SUM(L235:L237)</f>
        <v>7.4063101912607815E-2</v>
      </c>
      <c r="M238" s="2202"/>
      <c r="N238" s="2202"/>
    </row>
    <row r="239" spans="2:19">
      <c r="B239" s="925"/>
      <c r="C239" s="791"/>
      <c r="D239" s="791"/>
      <c r="E239" s="791"/>
      <c r="F239" s="791"/>
      <c r="G239" s="791"/>
      <c r="H239" s="791"/>
      <c r="I239" s="791"/>
      <c r="J239" s="926"/>
      <c r="K239" s="926"/>
      <c r="L239" s="926"/>
      <c r="M239" s="2202"/>
      <c r="N239" s="2202"/>
      <c r="O239" s="655"/>
      <c r="P239" s="655"/>
      <c r="Q239" s="655"/>
      <c r="R239" s="655"/>
      <c r="S239" s="655"/>
    </row>
    <row r="240" spans="2:19">
      <c r="B240" s="788"/>
      <c r="C240" s="791"/>
      <c r="D240" s="791"/>
      <c r="E240" s="791"/>
      <c r="F240" s="791"/>
      <c r="G240" s="791"/>
      <c r="H240" s="791"/>
      <c r="I240" s="791"/>
      <c r="J240" s="786"/>
      <c r="K240" s="655"/>
      <c r="L240" s="786"/>
      <c r="M240" s="2202"/>
      <c r="N240" s="2202"/>
      <c r="O240" s="655"/>
      <c r="P240" s="655"/>
      <c r="Q240" s="655"/>
      <c r="R240" s="655"/>
      <c r="S240" s="655"/>
    </row>
    <row r="241" spans="2:19">
      <c r="B241" s="788"/>
      <c r="C241" s="789"/>
      <c r="D241" s="780"/>
      <c r="E241" s="780"/>
      <c r="F241" s="863" t="str">
        <f>F196</f>
        <v xml:space="preserve">AEP West SPP Member Operating Companies </v>
      </c>
      <c r="G241" s="781"/>
      <c r="H241" s="786"/>
      <c r="I241" s="786"/>
      <c r="J241" s="786"/>
      <c r="K241" s="655"/>
      <c r="L241" s="786"/>
      <c r="M241" s="2202"/>
      <c r="N241" s="2202"/>
      <c r="O241" s="655"/>
      <c r="P241" s="655"/>
      <c r="Q241" s="655"/>
      <c r="R241" s="655"/>
      <c r="S241" s="655"/>
    </row>
    <row r="242" spans="2:19">
      <c r="B242" s="788"/>
      <c r="C242" s="789"/>
      <c r="D242" s="927"/>
      <c r="E242" s="789"/>
      <c r="F242" s="863" t="str">
        <f>F197</f>
        <v>Transmission Cost of Service Formula Rate</v>
      </c>
      <c r="G242" s="786"/>
      <c r="H242" s="786"/>
      <c r="I242" s="786"/>
      <c r="J242" s="786"/>
      <c r="K242" s="655"/>
      <c r="L242" s="657"/>
      <c r="M242" s="2202"/>
      <c r="N242" s="2202"/>
      <c r="O242" s="655"/>
      <c r="P242" s="655"/>
      <c r="Q242" s="655"/>
      <c r="R242" s="655"/>
      <c r="S242" s="655"/>
    </row>
    <row r="243" spans="2:19">
      <c r="B243" s="788"/>
      <c r="C243" s="789"/>
      <c r="D243" s="927"/>
      <c r="E243" s="864"/>
      <c r="F243" s="863" t="str">
        <f>F198</f>
        <v>Utilizing Actual / Projected Cost Data for the 2018 Rate Year</v>
      </c>
      <c r="G243" s="786"/>
      <c r="H243" s="786"/>
      <c r="I243" s="786"/>
      <c r="J243" s="786"/>
      <c r="K243" s="655"/>
      <c r="L243" s="657"/>
      <c r="M243" s="2202"/>
      <c r="N243" s="2202"/>
      <c r="O243" s="655"/>
      <c r="P243" s="655"/>
      <c r="Q243" s="655"/>
      <c r="R243" s="655"/>
      <c r="S243" s="655"/>
    </row>
    <row r="244" spans="2:19">
      <c r="B244" s="788"/>
      <c r="C244" s="789"/>
      <c r="D244" s="927"/>
      <c r="E244" s="864"/>
      <c r="F244" s="863"/>
      <c r="G244" s="786"/>
      <c r="H244" s="786"/>
      <c r="I244" s="786"/>
      <c r="J244" s="786"/>
      <c r="K244" s="655"/>
      <c r="L244" s="657"/>
      <c r="M244" s="2202"/>
      <c r="N244" s="2202"/>
      <c r="O244" s="655"/>
      <c r="P244" s="655"/>
      <c r="Q244" s="655"/>
      <c r="R244" s="655"/>
      <c r="S244" s="655"/>
    </row>
    <row r="245" spans="2:19">
      <c r="B245" s="788"/>
      <c r="C245" s="789"/>
      <c r="D245" s="927"/>
      <c r="E245" s="864"/>
      <c r="F245" s="863" t="str">
        <f>F200</f>
        <v>SOUTHWESTERN ELECTRIC POWER COMPANY</v>
      </c>
      <c r="G245" s="786"/>
      <c r="H245" s="786"/>
      <c r="I245" s="786"/>
      <c r="J245" s="786"/>
      <c r="K245" s="655"/>
      <c r="L245" s="657"/>
      <c r="M245" s="2202"/>
      <c r="N245" s="2202"/>
      <c r="O245" s="655"/>
      <c r="P245" s="655"/>
      <c r="Q245" s="655"/>
      <c r="R245" s="655"/>
      <c r="S245" s="655"/>
    </row>
    <row r="246" spans="2:19">
      <c r="B246" s="788"/>
      <c r="C246" s="789"/>
      <c r="D246" s="927"/>
      <c r="E246" s="864"/>
      <c r="F246" s="863"/>
      <c r="G246" s="786"/>
      <c r="H246" s="786"/>
      <c r="I246" s="786"/>
      <c r="J246" s="786"/>
      <c r="K246" s="655"/>
      <c r="L246" s="657"/>
      <c r="M246" s="2202"/>
      <c r="N246" s="2202"/>
      <c r="O246" s="655"/>
      <c r="P246" s="655"/>
      <c r="Q246" s="655"/>
      <c r="R246" s="655"/>
      <c r="S246" s="655"/>
    </row>
    <row r="247" spans="2:19">
      <c r="B247" s="928" t="s">
        <v>317</v>
      </c>
      <c r="C247" s="796"/>
      <c r="D247" s="783"/>
      <c r="E247" s="655"/>
      <c r="F247" s="928" t="s">
        <v>316</v>
      </c>
      <c r="G247" s="786"/>
      <c r="H247" s="786"/>
      <c r="I247" s="786"/>
      <c r="J247" s="786"/>
      <c r="K247" s="655"/>
      <c r="L247" s="786"/>
      <c r="M247" s="2202"/>
      <c r="N247" s="2202"/>
      <c r="O247" s="655"/>
      <c r="P247" s="655"/>
      <c r="Q247" s="655"/>
      <c r="R247" s="655"/>
      <c r="S247" s="655"/>
    </row>
    <row r="248" spans="2:19">
      <c r="C248" s="796"/>
      <c r="D248" s="662" t="s">
        <v>912</v>
      </c>
      <c r="L248" s="657"/>
      <c r="M248" s="2202"/>
      <c r="N248" s="2202"/>
      <c r="O248" s="655"/>
      <c r="P248" s="655"/>
      <c r="Q248" s="655"/>
      <c r="R248" s="655"/>
      <c r="S248" s="655"/>
    </row>
    <row r="249" spans="2:19">
      <c r="B249" s="662"/>
      <c r="D249" s="783"/>
      <c r="E249" s="655"/>
      <c r="F249" s="655"/>
      <c r="G249" s="786"/>
      <c r="H249" s="786"/>
      <c r="I249" s="786"/>
      <c r="J249" s="860"/>
      <c r="K249" s="791"/>
      <c r="L249" s="791"/>
      <c r="M249" s="2202"/>
      <c r="N249" s="2202"/>
      <c r="O249" s="655"/>
      <c r="P249" s="655"/>
      <c r="Q249" s="655"/>
      <c r="R249" s="655"/>
      <c r="S249" s="655"/>
    </row>
    <row r="250" spans="2:19">
      <c r="B250" s="866" t="s">
        <v>289</v>
      </c>
      <c r="C250" s="796"/>
      <c r="D250" s="783" t="s">
        <v>90</v>
      </c>
      <c r="E250" s="655"/>
      <c r="F250" s="655"/>
      <c r="G250" s="786"/>
      <c r="H250" s="786"/>
      <c r="I250" s="786"/>
      <c r="J250" s="860"/>
      <c r="K250" s="791"/>
      <c r="L250" s="791"/>
      <c r="M250" s="2202"/>
      <c r="N250" s="2202"/>
      <c r="O250" s="655"/>
      <c r="P250" s="655"/>
      <c r="Q250" s="655"/>
      <c r="R250" s="655"/>
      <c r="S250" s="655"/>
    </row>
    <row r="251" spans="2:19">
      <c r="B251" s="866"/>
      <c r="C251" s="863"/>
      <c r="D251" s="783" t="s">
        <v>91</v>
      </c>
      <c r="E251" s="655"/>
      <c r="F251" s="655"/>
      <c r="G251" s="655"/>
      <c r="H251" s="655"/>
      <c r="I251" s="655"/>
      <c r="J251" s="929"/>
      <c r="K251" s="791"/>
      <c r="L251" s="791"/>
      <c r="M251" s="2202"/>
      <c r="N251" s="2202"/>
      <c r="O251" s="655"/>
      <c r="P251" s="655"/>
      <c r="Q251" s="655"/>
      <c r="R251" s="655"/>
      <c r="S251" s="655"/>
    </row>
    <row r="252" spans="2:19">
      <c r="D252" s="783" t="s">
        <v>93</v>
      </c>
      <c r="E252" s="818"/>
      <c r="F252" s="818"/>
      <c r="G252" s="655"/>
      <c r="H252" s="655"/>
      <c r="I252" s="655"/>
      <c r="J252" s="929"/>
      <c r="K252" s="791"/>
      <c r="L252" s="791"/>
      <c r="M252" s="2202"/>
      <c r="N252" s="2202"/>
      <c r="O252" s="655"/>
      <c r="P252" s="655"/>
      <c r="Q252" s="655"/>
      <c r="R252" s="655"/>
      <c r="S252" s="655"/>
    </row>
    <row r="253" spans="2:19">
      <c r="D253" s="783" t="s">
        <v>94</v>
      </c>
      <c r="E253" s="655"/>
      <c r="F253" s="655"/>
      <c r="G253" s="655"/>
      <c r="H253" s="655"/>
      <c r="I253" s="655"/>
      <c r="J253" s="929"/>
      <c r="K253" s="791"/>
      <c r="L253" s="791"/>
      <c r="M253" s="2202"/>
      <c r="N253" s="2202"/>
      <c r="O253" s="655"/>
      <c r="P253" s="655"/>
      <c r="Q253" s="655"/>
      <c r="R253" s="655"/>
      <c r="S253" s="655"/>
    </row>
    <row r="254" spans="2:19">
      <c r="B254" s="788"/>
      <c r="C254" s="789"/>
      <c r="D254" s="783" t="s">
        <v>1334</v>
      </c>
      <c r="E254" s="655"/>
      <c r="F254" s="655"/>
      <c r="G254" s="655"/>
      <c r="H254" s="655"/>
      <c r="I254" s="655"/>
      <c r="J254" s="929"/>
      <c r="K254" s="791"/>
      <c r="L254" s="791"/>
      <c r="M254" s="2202"/>
      <c r="N254" s="2202"/>
      <c r="O254" s="655"/>
      <c r="P254" s="655"/>
      <c r="Q254" s="655"/>
      <c r="R254" s="655"/>
      <c r="S254" s="655"/>
    </row>
    <row r="255" spans="2:19" ht="15" customHeight="1">
      <c r="B255" s="788"/>
      <c r="C255" s="789"/>
      <c r="D255" s="783"/>
      <c r="E255" s="655"/>
      <c r="F255" s="655"/>
      <c r="G255" s="655"/>
      <c r="H255" s="655"/>
      <c r="I255" s="655"/>
      <c r="J255" s="929"/>
      <c r="K255" s="791"/>
      <c r="L255" s="791"/>
      <c r="M255" s="2202"/>
      <c r="N255" s="2202"/>
      <c r="O255" s="655"/>
      <c r="P255" s="655"/>
      <c r="Q255" s="655"/>
      <c r="R255" s="655"/>
      <c r="S255" s="655"/>
    </row>
    <row r="256" spans="2:19">
      <c r="B256" s="788" t="s">
        <v>290</v>
      </c>
      <c r="C256" s="789"/>
      <c r="D256" s="926" t="s">
        <v>95</v>
      </c>
      <c r="E256" s="655"/>
      <c r="F256" s="655"/>
      <c r="G256" s="655"/>
      <c r="H256" s="655"/>
      <c r="I256" s="655"/>
      <c r="J256" s="929"/>
      <c r="K256" s="791"/>
      <c r="L256" s="791"/>
      <c r="M256" s="2202"/>
      <c r="N256" s="2202"/>
      <c r="O256" s="655"/>
      <c r="P256" s="655"/>
      <c r="Q256" s="655"/>
      <c r="R256" s="655"/>
      <c r="S256" s="655"/>
    </row>
    <row r="257" spans="2:19">
      <c r="B257" s="788"/>
      <c r="C257" s="789"/>
      <c r="D257" s="926"/>
      <c r="E257" s="655"/>
      <c r="F257" s="655"/>
      <c r="G257" s="655"/>
      <c r="H257" s="655"/>
      <c r="I257" s="655"/>
      <c r="J257" s="929"/>
      <c r="K257" s="791"/>
      <c r="L257" s="791"/>
      <c r="M257" s="2202"/>
      <c r="N257" s="2202"/>
      <c r="O257" s="655"/>
      <c r="P257" s="655"/>
      <c r="Q257" s="655"/>
      <c r="R257" s="655"/>
      <c r="S257" s="655"/>
    </row>
    <row r="258" spans="2:19">
      <c r="B258" s="788" t="s">
        <v>291</v>
      </c>
      <c r="C258" s="789"/>
      <c r="D258" s="926" t="s">
        <v>205</v>
      </c>
      <c r="E258" s="655"/>
      <c r="F258" s="655"/>
      <c r="G258" s="655"/>
      <c r="H258" s="655"/>
      <c r="I258" s="655"/>
      <c r="J258" s="929"/>
      <c r="K258" s="791"/>
      <c r="L258" s="791"/>
      <c r="M258" s="2202"/>
      <c r="N258" s="2202"/>
      <c r="O258" s="655"/>
      <c r="P258" s="655"/>
      <c r="Q258" s="655"/>
      <c r="R258" s="655"/>
      <c r="S258" s="655"/>
    </row>
    <row r="259" spans="2:19">
      <c r="B259" s="788"/>
      <c r="C259" s="789"/>
      <c r="D259" s="926"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55"/>
      <c r="F259" s="655"/>
      <c r="G259" s="655"/>
      <c r="H259" s="655"/>
      <c r="I259" s="655"/>
      <c r="J259" s="929"/>
      <c r="K259" s="791"/>
      <c r="L259" s="791"/>
      <c r="M259" s="2202"/>
      <c r="N259" s="2202"/>
      <c r="O259" s="655"/>
      <c r="P259" s="655"/>
      <c r="Q259" s="655"/>
      <c r="R259" s="655"/>
      <c r="S259" s="655"/>
    </row>
    <row r="260" spans="2:19">
      <c r="B260" s="788"/>
      <c r="C260" s="789"/>
      <c r="D260" s="926" t="s">
        <v>206</v>
      </c>
      <c r="E260" s="655"/>
      <c r="F260" s="655"/>
      <c r="G260" s="655"/>
      <c r="H260" s="655"/>
      <c r="I260" s="655"/>
      <c r="J260" s="929"/>
      <c r="K260" s="791"/>
      <c r="L260" s="791"/>
      <c r="M260" s="2202"/>
      <c r="N260" s="2202"/>
      <c r="O260" s="655"/>
      <c r="P260" s="655"/>
      <c r="Q260" s="655"/>
      <c r="R260" s="655"/>
      <c r="S260" s="655"/>
    </row>
    <row r="261" spans="2:19">
      <c r="B261" s="788"/>
      <c r="C261" s="789"/>
      <c r="D261" s="926"/>
      <c r="E261" s="655"/>
      <c r="F261" s="655"/>
      <c r="G261" s="655"/>
      <c r="H261" s="655"/>
      <c r="I261" s="655"/>
      <c r="J261" s="929"/>
      <c r="K261" s="791"/>
      <c r="L261" s="791"/>
      <c r="M261" s="2202"/>
      <c r="N261" s="2202"/>
      <c r="O261" s="655"/>
      <c r="P261" s="655"/>
      <c r="Q261" s="655"/>
      <c r="R261" s="655"/>
      <c r="S261" s="655"/>
    </row>
    <row r="262" spans="2:19">
      <c r="B262" s="788" t="s">
        <v>292</v>
      </c>
      <c r="C262" s="789"/>
      <c r="D262" s="2438" t="s">
        <v>1335</v>
      </c>
      <c r="E262" s="2437"/>
      <c r="F262" s="2437"/>
      <c r="G262" s="2437"/>
      <c r="H262" s="2437"/>
      <c r="I262" s="2437"/>
      <c r="J262" s="2437"/>
      <c r="K262" s="791"/>
      <c r="L262" s="791"/>
      <c r="M262" s="2202"/>
      <c r="N262" s="2202"/>
      <c r="O262" s="655"/>
      <c r="P262" s="655"/>
      <c r="Q262" s="655"/>
      <c r="R262" s="655"/>
      <c r="S262" s="655"/>
    </row>
    <row r="263" spans="2:19">
      <c r="B263" s="788"/>
      <c r="C263" s="789"/>
      <c r="D263" s="2437"/>
      <c r="E263" s="2437"/>
      <c r="F263" s="2437"/>
      <c r="G263" s="2437"/>
      <c r="H263" s="2437"/>
      <c r="I263" s="2437"/>
      <c r="J263" s="2437"/>
      <c r="K263" s="791"/>
      <c r="L263" s="791"/>
      <c r="M263" s="2202"/>
      <c r="N263" s="2202"/>
      <c r="O263" s="655"/>
      <c r="P263" s="655"/>
      <c r="Q263" s="655"/>
      <c r="R263" s="655"/>
      <c r="S263" s="655"/>
    </row>
    <row r="264" spans="2:19">
      <c r="B264" s="788"/>
      <c r="C264" s="789"/>
      <c r="E264" s="655"/>
      <c r="F264" s="655"/>
      <c r="G264" s="655"/>
      <c r="H264" s="655"/>
      <c r="I264" s="655"/>
      <c r="J264" s="929"/>
      <c r="K264" s="791"/>
      <c r="L264" s="791"/>
      <c r="M264" s="2202"/>
      <c r="N264" s="2202"/>
      <c r="O264" s="655"/>
      <c r="P264" s="655"/>
      <c r="Q264" s="655"/>
      <c r="R264" s="655"/>
      <c r="S264" s="655"/>
    </row>
    <row r="265" spans="2:19">
      <c r="B265" s="788" t="s">
        <v>293</v>
      </c>
      <c r="C265" s="789"/>
      <c r="D265" s="783" t="s">
        <v>203</v>
      </c>
      <c r="E265" s="655"/>
      <c r="F265" s="655"/>
      <c r="G265" s="655"/>
      <c r="H265" s="655"/>
      <c r="I265" s="655"/>
      <c r="J265" s="929"/>
      <c r="K265" s="791"/>
      <c r="L265" s="791"/>
      <c r="M265" s="2202"/>
      <c r="N265" s="2202"/>
      <c r="O265" s="655"/>
      <c r="P265" s="655"/>
      <c r="Q265" s="655"/>
      <c r="R265" s="655"/>
      <c r="S265" s="655"/>
    </row>
    <row r="266" spans="2:19">
      <c r="B266" s="788"/>
      <c r="C266" s="789"/>
      <c r="D266" s="783" t="s">
        <v>419</v>
      </c>
      <c r="E266" s="655"/>
      <c r="F266" s="655"/>
      <c r="G266" s="655"/>
      <c r="H266" s="655"/>
      <c r="I266" s="655"/>
      <c r="J266" s="929"/>
      <c r="K266" s="791"/>
      <c r="L266" s="791"/>
      <c r="M266" s="2202"/>
      <c r="N266" s="2202"/>
      <c r="O266" s="655"/>
      <c r="P266" s="655"/>
      <c r="Q266" s="655"/>
      <c r="R266" s="655"/>
      <c r="S266" s="655"/>
    </row>
    <row r="267" spans="2:19">
      <c r="C267" s="789"/>
      <c r="D267" s="783" t="s">
        <v>883</v>
      </c>
      <c r="E267" s="655"/>
      <c r="F267" s="655"/>
      <c r="G267" s="655"/>
      <c r="H267" s="655"/>
      <c r="I267" s="655"/>
      <c r="J267" s="929"/>
      <c r="K267" s="791"/>
      <c r="L267" s="791"/>
      <c r="M267" s="2202"/>
      <c r="N267" s="2202"/>
      <c r="O267" s="655"/>
      <c r="P267" s="655"/>
      <c r="Q267" s="655"/>
      <c r="R267" s="655"/>
      <c r="S267" s="655"/>
    </row>
    <row r="268" spans="2:19">
      <c r="B268" s="788"/>
      <c r="C268" s="789"/>
      <c r="D268" s="783" t="s">
        <v>204</v>
      </c>
      <c r="E268" s="655"/>
      <c r="F268" s="655"/>
      <c r="G268" s="655"/>
      <c r="H268" s="655"/>
      <c r="I268" s="655"/>
      <c r="J268" s="929"/>
      <c r="K268" s="791"/>
      <c r="L268" s="791"/>
      <c r="M268" s="2202"/>
      <c r="N268" s="2202"/>
      <c r="O268" s="655"/>
      <c r="P268" s="655"/>
      <c r="Q268" s="655"/>
      <c r="R268" s="655"/>
      <c r="S268" s="655"/>
    </row>
    <row r="269" spans="2:19">
      <c r="B269" s="788"/>
      <c r="C269" s="789"/>
      <c r="D269" s="783"/>
      <c r="E269" s="655"/>
      <c r="F269" s="655"/>
      <c r="G269" s="655"/>
      <c r="H269" s="655"/>
      <c r="I269" s="655"/>
      <c r="J269" s="929"/>
      <c r="K269" s="791"/>
      <c r="L269" s="791"/>
      <c r="M269" s="2202"/>
      <c r="N269" s="2202"/>
      <c r="O269" s="655"/>
      <c r="P269" s="655"/>
      <c r="Q269" s="655"/>
      <c r="R269" s="655"/>
      <c r="S269" s="655"/>
    </row>
    <row r="270" spans="2:19">
      <c r="B270" s="788" t="s">
        <v>294</v>
      </c>
      <c r="C270" s="789"/>
      <c r="D270" s="783" t="s">
        <v>138</v>
      </c>
      <c r="E270" s="655"/>
      <c r="F270" s="655"/>
      <c r="G270" s="655"/>
      <c r="H270" s="655"/>
      <c r="I270" s="655"/>
      <c r="J270" s="929"/>
      <c r="K270" s="791"/>
      <c r="L270" s="791"/>
      <c r="M270" s="2202"/>
      <c r="N270" s="2202"/>
      <c r="O270" s="655"/>
      <c r="P270" s="655"/>
      <c r="Q270" s="655"/>
      <c r="R270" s="655"/>
      <c r="S270" s="655"/>
    </row>
    <row r="271" spans="2:19">
      <c r="B271" s="788"/>
      <c r="C271" s="789"/>
      <c r="D271" s="783"/>
      <c r="E271" s="655"/>
      <c r="F271" s="655"/>
      <c r="G271" s="655"/>
      <c r="H271" s="655"/>
      <c r="I271" s="655"/>
      <c r="J271" s="929"/>
      <c r="K271" s="791"/>
      <c r="L271" s="791"/>
      <c r="M271" s="2202"/>
      <c r="N271" s="2202"/>
      <c r="O271" s="655"/>
      <c r="P271" s="655"/>
      <c r="Q271" s="655"/>
      <c r="R271" s="655"/>
      <c r="S271" s="655"/>
    </row>
    <row r="272" spans="2:19">
      <c r="B272" s="788" t="s">
        <v>295</v>
      </c>
      <c r="C272" s="789"/>
      <c r="D272" s="783" t="str">
        <f>"Cash Working Capital assigned to transmission is one-eighth of O&amp;M allocated to transmission on line "&amp;B134&amp;"."</f>
        <v>Cash Working Capital assigned to transmission is one-eighth of O&amp;M allocated to transmission on line 70.</v>
      </c>
      <c r="E272" s="655"/>
      <c r="F272" s="655"/>
      <c r="G272" s="655"/>
      <c r="H272" s="655"/>
      <c r="I272" s="655"/>
      <c r="J272" s="929"/>
      <c r="K272" s="791"/>
      <c r="L272" s="791"/>
      <c r="M272" s="2202"/>
      <c r="N272" s="2202"/>
      <c r="O272" s="655"/>
      <c r="P272" s="655"/>
      <c r="Q272" s="655"/>
      <c r="R272" s="655"/>
      <c r="S272" s="655"/>
    </row>
    <row r="273" spans="2:19">
      <c r="B273" s="788"/>
      <c r="C273" s="789"/>
      <c r="D273" s="783"/>
      <c r="E273" s="655"/>
      <c r="F273" s="655"/>
      <c r="G273" s="655"/>
      <c r="H273" s="655"/>
      <c r="I273" s="655"/>
      <c r="J273" s="929"/>
      <c r="K273" s="791"/>
      <c r="L273" s="791"/>
      <c r="M273" s="2202"/>
      <c r="N273" s="2202"/>
      <c r="O273" s="655"/>
      <c r="P273" s="655"/>
      <c r="Q273" s="655"/>
      <c r="R273" s="655"/>
      <c r="S273" s="655"/>
    </row>
    <row r="274" spans="2:19">
      <c r="B274" s="866" t="s">
        <v>296</v>
      </c>
      <c r="C274" s="863"/>
      <c r="D274" s="662"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860"/>
      <c r="K274" s="791"/>
      <c r="L274" s="791"/>
      <c r="M274" s="2202"/>
      <c r="N274" s="2202"/>
      <c r="O274" s="655"/>
      <c r="P274" s="655"/>
      <c r="Q274" s="655"/>
      <c r="R274" s="655"/>
      <c r="S274" s="655"/>
    </row>
    <row r="275" spans="2:19">
      <c r="D275" s="662" t="s">
        <v>357</v>
      </c>
      <c r="J275" s="860"/>
      <c r="K275" s="791"/>
      <c r="L275" s="791"/>
      <c r="M275" s="2202"/>
      <c r="N275" s="2202"/>
      <c r="O275" s="655"/>
      <c r="P275" s="655"/>
      <c r="Q275" s="655"/>
      <c r="R275" s="655"/>
      <c r="S275" s="655"/>
    </row>
    <row r="276" spans="2:19">
      <c r="D276" s="662" t="str">
        <f>"expense is included on line "&amp;B186&amp;"."</f>
        <v>expense is included on line 113.</v>
      </c>
      <c r="J276" s="860"/>
      <c r="K276" s="791"/>
      <c r="L276" s="791"/>
      <c r="M276" s="2202"/>
      <c r="N276" s="2202"/>
      <c r="O276" s="655"/>
      <c r="P276" s="655"/>
      <c r="Q276" s="655"/>
      <c r="R276" s="655"/>
      <c r="S276" s="655"/>
    </row>
    <row r="277" spans="2:19">
      <c r="J277" s="860"/>
      <c r="K277" s="791"/>
      <c r="L277" s="791"/>
      <c r="M277" s="2202"/>
      <c r="N277" s="2202"/>
      <c r="O277" s="655"/>
      <c r="P277" s="655"/>
      <c r="Q277" s="655"/>
      <c r="R277" s="655"/>
      <c r="S277" s="655"/>
    </row>
    <row r="278" spans="2:19" ht="20.25" customHeight="1">
      <c r="B278" s="866" t="s">
        <v>297</v>
      </c>
      <c r="D278" s="2425"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425"/>
      <c r="F278" s="2425"/>
      <c r="G278" s="2425"/>
      <c r="H278" s="2425"/>
      <c r="I278" s="2425"/>
      <c r="J278" s="2425"/>
      <c r="K278" s="791"/>
      <c r="L278" s="791"/>
      <c r="M278" s="2202"/>
      <c r="N278" s="2202"/>
      <c r="O278" s="655"/>
      <c r="P278" s="655"/>
      <c r="Q278" s="655"/>
      <c r="R278" s="655"/>
      <c r="S278" s="655"/>
    </row>
    <row r="279" spans="2:19">
      <c r="B279" s="866"/>
      <c r="D279" s="783"/>
      <c r="J279" s="860"/>
      <c r="K279" s="791"/>
      <c r="L279" s="791"/>
      <c r="M279" s="2202"/>
      <c r="N279" s="2202"/>
      <c r="O279" s="655"/>
      <c r="P279" s="655"/>
      <c r="Q279" s="655"/>
      <c r="R279" s="655"/>
      <c r="S279" s="655"/>
    </row>
    <row r="280" spans="2:19">
      <c r="B280" s="866" t="s">
        <v>298</v>
      </c>
      <c r="D280" s="662" t="s">
        <v>139</v>
      </c>
      <c r="J280" s="860"/>
      <c r="K280" s="791"/>
      <c r="L280" s="791"/>
      <c r="M280" s="2202"/>
      <c r="N280" s="2202"/>
      <c r="O280" s="655"/>
      <c r="P280" s="655"/>
      <c r="Q280" s="655"/>
      <c r="R280" s="655"/>
      <c r="S280" s="655"/>
    </row>
    <row r="281" spans="2:19">
      <c r="B281" s="866"/>
      <c r="J281" s="860"/>
      <c r="K281" s="791"/>
      <c r="L281" s="791"/>
      <c r="M281" s="2202"/>
      <c r="N281" s="2202"/>
      <c r="O281" s="655"/>
      <c r="P281" s="655"/>
      <c r="Q281" s="655"/>
      <c r="R281" s="655"/>
      <c r="S281" s="655"/>
    </row>
    <row r="282" spans="2:19">
      <c r="B282" s="788" t="s">
        <v>299</v>
      </c>
      <c r="D282" s="662" t="s">
        <v>1086</v>
      </c>
      <c r="J282" s="860"/>
      <c r="K282" s="791"/>
      <c r="L282" s="791"/>
      <c r="M282" s="2202"/>
      <c r="N282" s="2202"/>
      <c r="O282" s="655"/>
      <c r="P282" s="655"/>
      <c r="Q282" s="655"/>
      <c r="R282" s="655"/>
      <c r="S282" s="655"/>
    </row>
    <row r="283" spans="2:19">
      <c r="B283" s="866"/>
      <c r="J283" s="860"/>
      <c r="K283" s="791"/>
      <c r="L283" s="791"/>
      <c r="M283" s="2202"/>
      <c r="N283" s="2202"/>
      <c r="O283" s="655"/>
      <c r="P283" s="655"/>
      <c r="Q283" s="655"/>
      <c r="R283" s="655"/>
      <c r="S283" s="655"/>
    </row>
    <row r="284" spans="2:19">
      <c r="B284" s="788" t="s">
        <v>300</v>
      </c>
      <c r="C284" s="789"/>
      <c r="D284" s="783" t="s">
        <v>1336</v>
      </c>
      <c r="E284" s="655"/>
      <c r="F284" s="655"/>
      <c r="G284" s="655"/>
      <c r="H284" s="655"/>
      <c r="I284" s="655"/>
      <c r="J284" s="929"/>
      <c r="K284" s="791"/>
      <c r="L284" s="791"/>
      <c r="M284" s="2202"/>
      <c r="N284" s="2202"/>
      <c r="O284" s="655"/>
      <c r="P284" s="655"/>
      <c r="Q284" s="655"/>
      <c r="R284" s="655"/>
      <c r="S284" s="655"/>
    </row>
    <row r="285" spans="2:19">
      <c r="B285" s="788"/>
      <c r="C285" s="789"/>
      <c r="D285" s="783" t="s">
        <v>140</v>
      </c>
      <c r="E285" s="655"/>
      <c r="F285" s="655"/>
      <c r="G285" s="655"/>
      <c r="H285" s="655"/>
      <c r="I285" s="655"/>
      <c r="J285" s="929"/>
      <c r="K285" s="791"/>
      <c r="L285" s="791"/>
      <c r="M285" s="2202"/>
      <c r="N285" s="2202"/>
      <c r="O285" s="655"/>
      <c r="P285" s="655"/>
      <c r="Q285" s="655"/>
      <c r="R285" s="655"/>
      <c r="S285" s="655"/>
    </row>
    <row r="286" spans="2:19">
      <c r="B286" s="788"/>
      <c r="C286" s="789"/>
      <c r="D286" s="783" t="s">
        <v>141</v>
      </c>
      <c r="E286" s="655"/>
      <c r="F286" s="655"/>
      <c r="G286" s="655"/>
      <c r="H286" s="655"/>
      <c r="I286" s="655"/>
      <c r="J286" s="929"/>
      <c r="K286" s="791"/>
      <c r="L286" s="791"/>
      <c r="M286" s="2202"/>
      <c r="N286" s="2202"/>
      <c r="O286" s="655"/>
      <c r="P286" s="655"/>
      <c r="Q286" s="655"/>
      <c r="R286" s="655"/>
      <c r="S286" s="655"/>
    </row>
    <row r="287" spans="2:19">
      <c r="B287" s="788"/>
      <c r="C287" s="789"/>
      <c r="D287" s="662" t="s">
        <v>1337</v>
      </c>
      <c r="E287" s="655"/>
      <c r="F287" s="655"/>
      <c r="G287" s="655"/>
      <c r="H287" s="655"/>
      <c r="I287" s="655"/>
      <c r="J287" s="929"/>
      <c r="K287" s="791"/>
      <c r="L287" s="791"/>
      <c r="M287" s="2202"/>
      <c r="N287" s="2202"/>
      <c r="O287" s="655"/>
      <c r="P287" s="655"/>
      <c r="Q287" s="655"/>
      <c r="R287" s="655"/>
      <c r="S287" s="655"/>
    </row>
    <row r="288" spans="2:19">
      <c r="B288" s="788"/>
      <c r="C288" s="789"/>
      <c r="E288" s="655"/>
      <c r="F288" s="655"/>
      <c r="G288" s="655"/>
      <c r="H288" s="655"/>
      <c r="I288" s="655"/>
      <c r="J288" s="929"/>
      <c r="K288" s="791"/>
      <c r="L288" s="791"/>
      <c r="M288" s="2202"/>
      <c r="N288" s="2202"/>
      <c r="O288" s="655"/>
      <c r="P288" s="655"/>
      <c r="Q288" s="655"/>
      <c r="R288" s="655"/>
      <c r="S288" s="655"/>
    </row>
    <row r="289" spans="2:19" ht="62.25" customHeight="1">
      <c r="B289" s="930" t="s">
        <v>301</v>
      </c>
      <c r="C289" s="789"/>
      <c r="D289" s="2433" t="s">
        <v>1081</v>
      </c>
      <c r="E289" s="2433"/>
      <c r="F289" s="2433"/>
      <c r="G289" s="2433"/>
      <c r="H289" s="2433"/>
      <c r="I289" s="2433"/>
      <c r="J289" s="2433"/>
      <c r="K289" s="791"/>
      <c r="L289" s="791"/>
      <c r="M289" s="2202"/>
      <c r="N289" s="2202"/>
      <c r="O289" s="655"/>
      <c r="P289" s="655"/>
      <c r="Q289" s="655"/>
      <c r="R289" s="655"/>
      <c r="S289" s="655"/>
    </row>
    <row r="290" spans="2:19">
      <c r="B290" s="863"/>
      <c r="C290" s="789"/>
      <c r="E290" s="655"/>
      <c r="F290" s="655"/>
      <c r="G290" s="655"/>
      <c r="H290" s="655"/>
      <c r="I290" s="655"/>
      <c r="J290" s="929"/>
      <c r="K290" s="791"/>
      <c r="L290" s="791"/>
      <c r="M290" s="2202"/>
      <c r="N290" s="2202"/>
      <c r="O290" s="655"/>
      <c r="P290" s="655"/>
      <c r="Q290" s="655"/>
      <c r="R290" s="655"/>
      <c r="S290" s="655"/>
    </row>
    <row r="291" spans="2:19" ht="30.75" customHeight="1">
      <c r="B291" s="930" t="s">
        <v>369</v>
      </c>
      <c r="C291" s="789"/>
      <c r="D291" s="2435" t="s">
        <v>884</v>
      </c>
      <c r="E291" s="2435"/>
      <c r="F291" s="2435"/>
      <c r="G291" s="2435"/>
      <c r="H291" s="2435"/>
      <c r="I291" s="2435"/>
      <c r="J291" s="2435"/>
      <c r="K291" s="791"/>
      <c r="L291" s="791"/>
      <c r="M291" s="2202"/>
      <c r="N291" s="2202"/>
      <c r="O291" s="655"/>
      <c r="P291" s="655"/>
      <c r="Q291" s="655"/>
      <c r="R291" s="655"/>
      <c r="S291" s="655"/>
    </row>
    <row r="292" spans="2:19">
      <c r="C292" s="789"/>
      <c r="D292" s="931"/>
      <c r="E292" s="931"/>
      <c r="F292" s="931"/>
      <c r="G292" s="931"/>
      <c r="H292" s="931"/>
      <c r="I292" s="931"/>
      <c r="J292" s="931"/>
      <c r="K292" s="791"/>
      <c r="L292" s="791"/>
      <c r="M292" s="2202"/>
      <c r="N292" s="2202"/>
      <c r="O292" s="655"/>
      <c r="P292" s="655"/>
      <c r="Q292" s="655"/>
      <c r="R292" s="655"/>
      <c r="S292" s="655"/>
    </row>
    <row r="293" spans="2:19">
      <c r="B293" s="788" t="s">
        <v>390</v>
      </c>
      <c r="C293" s="789"/>
      <c r="D293" s="783" t="s">
        <v>411</v>
      </c>
      <c r="E293" s="655"/>
      <c r="F293" s="655"/>
      <c r="G293" s="655"/>
      <c r="H293" s="655"/>
      <c r="I293" s="655"/>
      <c r="J293" s="929"/>
      <c r="K293" s="791"/>
      <c r="L293" s="791"/>
      <c r="M293" s="2202"/>
      <c r="N293" s="2202"/>
      <c r="O293" s="655"/>
      <c r="P293" s="655"/>
      <c r="Q293" s="655"/>
      <c r="R293" s="655"/>
      <c r="S293" s="655"/>
    </row>
    <row r="294" spans="2:19">
      <c r="B294" s="788"/>
      <c r="C294" s="789"/>
      <c r="D294" s="783" t="s">
        <v>2</v>
      </c>
      <c r="E294" s="655"/>
      <c r="F294" s="655"/>
      <c r="G294" s="655"/>
      <c r="H294" s="655"/>
      <c r="I294" s="655"/>
      <c r="J294" s="929"/>
      <c r="K294" s="791"/>
      <c r="L294" s="791"/>
      <c r="M294" s="2202"/>
      <c r="N294" s="2202"/>
      <c r="O294" s="655"/>
      <c r="P294" s="655"/>
      <c r="Q294" s="655"/>
      <c r="R294" s="655"/>
      <c r="S294" s="655"/>
    </row>
    <row r="295" spans="2:19">
      <c r="B295" s="788"/>
      <c r="C295" s="789"/>
      <c r="D295" s="783" t="s">
        <v>3</v>
      </c>
      <c r="E295" s="655"/>
      <c r="F295" s="655"/>
      <c r="G295" s="655"/>
      <c r="H295" s="655"/>
      <c r="I295" s="655"/>
      <c r="J295" s="929"/>
      <c r="K295" s="791"/>
      <c r="L295" s="791"/>
      <c r="M295" s="2202"/>
      <c r="N295" s="2202"/>
      <c r="O295" s="655"/>
      <c r="P295" s="655"/>
      <c r="Q295" s="655"/>
      <c r="R295" s="655"/>
      <c r="S295" s="655"/>
    </row>
    <row r="296" spans="2:19">
      <c r="B296" s="788"/>
      <c r="C296" s="789"/>
      <c r="D296" s="783" t="s">
        <v>4</v>
      </c>
      <c r="E296" s="655"/>
      <c r="F296" s="655"/>
      <c r="G296" s="655"/>
      <c r="H296" s="655"/>
      <c r="I296" s="655"/>
      <c r="J296" s="929"/>
      <c r="K296" s="791"/>
      <c r="L296" s="791"/>
      <c r="M296" s="2202"/>
      <c r="N296" s="2202"/>
      <c r="O296" s="655"/>
      <c r="P296" s="655"/>
      <c r="Q296" s="655"/>
      <c r="R296" s="655"/>
      <c r="S296" s="655"/>
    </row>
    <row r="297" spans="2:19">
      <c r="B297" s="788"/>
      <c r="C297" s="789"/>
      <c r="D297" s="783" t="s">
        <v>5</v>
      </c>
      <c r="E297" s="655"/>
      <c r="F297" s="655"/>
      <c r="G297" s="655"/>
      <c r="H297" s="655"/>
      <c r="I297" s="655"/>
      <c r="J297" s="929"/>
      <c r="K297" s="791"/>
      <c r="L297" s="791"/>
      <c r="M297" s="2202"/>
      <c r="N297" s="2202"/>
      <c r="O297" s="655"/>
      <c r="P297" s="655"/>
      <c r="Q297" s="655"/>
      <c r="R297" s="655"/>
      <c r="S297" s="655"/>
    </row>
    <row r="298" spans="2:19">
      <c r="B298" s="788"/>
      <c r="C298" s="789"/>
      <c r="D298" s="783" t="str">
        <f>"(ln "&amp;B168&amp;") multiplied by (1/1-T) .  If the applicable tax rates are zero enter 0."</f>
        <v>(ln 99) multiplied by (1/1-T) .  If the applicable tax rates are zero enter 0.</v>
      </c>
      <c r="E298" s="655"/>
      <c r="F298" s="655"/>
      <c r="G298" s="655"/>
      <c r="H298" s="655"/>
      <c r="I298" s="655"/>
      <c r="J298" s="929"/>
      <c r="K298" s="791"/>
      <c r="L298" s="791"/>
      <c r="M298" s="2202"/>
      <c r="N298" s="2202"/>
      <c r="O298" s="655"/>
      <c r="P298" s="655"/>
      <c r="Q298" s="655"/>
      <c r="R298" s="655"/>
      <c r="S298" s="655"/>
    </row>
    <row r="299" spans="2:19">
      <c r="B299" s="788" t="s">
        <v>256</v>
      </c>
      <c r="C299" s="789"/>
      <c r="D299" s="783" t="s">
        <v>6</v>
      </c>
      <c r="E299" s="655" t="s">
        <v>7</v>
      </c>
      <c r="F299" s="920">
        <v>0.21</v>
      </c>
      <c r="G299" s="655"/>
      <c r="I299" s="655"/>
      <c r="J299" s="929"/>
      <c r="K299" s="791"/>
      <c r="L299" s="791"/>
      <c r="M299" s="2202"/>
      <c r="N299" s="2202"/>
      <c r="O299" s="655"/>
      <c r="P299" s="655"/>
      <c r="Q299" s="655"/>
      <c r="R299" s="655"/>
      <c r="S299" s="655"/>
    </row>
    <row r="300" spans="2:19">
      <c r="B300" s="788"/>
      <c r="C300" s="789"/>
      <c r="D300" s="783"/>
      <c r="E300" s="655" t="s">
        <v>8</v>
      </c>
      <c r="F300" s="818">
        <f>+'SWEPCO WS K State Taxes'!F29</f>
        <v>4.6800000000000001E-2</v>
      </c>
      <c r="G300" s="655" t="s">
        <v>117</v>
      </c>
      <c r="I300" s="655"/>
      <c r="J300" s="929"/>
      <c r="K300" s="791"/>
      <c r="L300" s="791"/>
      <c r="M300" s="2202"/>
      <c r="N300" s="2202"/>
      <c r="O300" s="655"/>
      <c r="P300" s="655"/>
      <c r="Q300" s="655"/>
      <c r="R300" s="655"/>
      <c r="S300" s="655"/>
    </row>
    <row r="301" spans="2:19">
      <c r="B301" s="788"/>
      <c r="C301" s="789"/>
      <c r="D301" s="783"/>
      <c r="E301" s="655" t="s">
        <v>9</v>
      </c>
      <c r="F301" s="920">
        <v>0</v>
      </c>
      <c r="G301" s="655" t="s">
        <v>10</v>
      </c>
      <c r="I301" s="655"/>
      <c r="J301" s="929"/>
      <c r="K301" s="791"/>
      <c r="L301" s="791"/>
      <c r="M301" s="2202"/>
      <c r="N301" s="2202"/>
      <c r="O301" s="655"/>
      <c r="P301" s="655"/>
      <c r="Q301" s="655"/>
      <c r="R301" s="655"/>
      <c r="S301" s="655"/>
    </row>
    <row r="302" spans="2:19" ht="39.75" customHeight="1">
      <c r="B302" s="788"/>
      <c r="C302" s="789"/>
      <c r="D302" s="2434" t="s">
        <v>1347</v>
      </c>
      <c r="E302" s="2434"/>
      <c r="F302" s="2434"/>
      <c r="G302" s="2434"/>
      <c r="H302" s="2434"/>
      <c r="I302" s="2434"/>
      <c r="J302" s="2434"/>
      <c r="K302" s="932"/>
      <c r="L302" s="932"/>
      <c r="M302" s="2202"/>
      <c r="N302" s="2202"/>
      <c r="O302" s="655"/>
      <c r="P302" s="655"/>
      <c r="Q302" s="655"/>
      <c r="R302" s="655"/>
      <c r="S302" s="655"/>
    </row>
    <row r="303" spans="2:19">
      <c r="B303" s="788"/>
      <c r="C303" s="789"/>
      <c r="D303" s="783"/>
      <c r="E303" s="655"/>
      <c r="F303" s="818"/>
      <c r="G303" s="655"/>
      <c r="I303" s="655"/>
      <c r="J303" s="929"/>
      <c r="K303" s="791"/>
      <c r="L303" s="791"/>
      <c r="M303" s="2202"/>
      <c r="N303" s="2202"/>
      <c r="O303" s="655"/>
      <c r="P303" s="655"/>
      <c r="Q303" s="655"/>
      <c r="R303" s="655"/>
      <c r="S303" s="655"/>
    </row>
    <row r="304" spans="2:19">
      <c r="B304" s="788"/>
      <c r="C304" s="789"/>
      <c r="D304" s="783"/>
      <c r="E304" s="655"/>
      <c r="F304" s="818"/>
      <c r="G304" s="655"/>
      <c r="I304" s="655"/>
      <c r="J304" s="929"/>
      <c r="K304" s="791"/>
      <c r="L304" s="791"/>
      <c r="M304" s="2202"/>
      <c r="N304" s="2202"/>
      <c r="O304" s="655"/>
      <c r="P304" s="655"/>
      <c r="Q304" s="655"/>
      <c r="R304" s="655"/>
      <c r="S304" s="655"/>
    </row>
    <row r="305" spans="2:19">
      <c r="B305" s="788" t="s">
        <v>11</v>
      </c>
      <c r="C305" s="789"/>
      <c r="D305" s="783" t="s">
        <v>1082</v>
      </c>
      <c r="E305" s="655"/>
      <c r="F305" s="655"/>
      <c r="G305" s="818"/>
      <c r="H305" s="655"/>
      <c r="I305" s="655"/>
      <c r="J305" s="929"/>
      <c r="K305" s="791"/>
      <c r="L305" s="791"/>
      <c r="M305" s="2202"/>
      <c r="N305" s="2202"/>
      <c r="O305" s="655"/>
      <c r="P305" s="655"/>
      <c r="Q305" s="655"/>
      <c r="R305" s="655"/>
      <c r="S305" s="655"/>
    </row>
    <row r="306" spans="2:19">
      <c r="B306" s="788"/>
      <c r="C306" s="789"/>
      <c r="D306" s="783" t="s">
        <v>0</v>
      </c>
      <c r="E306" s="655"/>
      <c r="F306" s="655"/>
      <c r="G306" s="818"/>
      <c r="H306" s="655"/>
      <c r="I306" s="655"/>
      <c r="J306" s="929"/>
      <c r="K306" s="791"/>
      <c r="L306" s="791"/>
      <c r="M306" s="2202"/>
      <c r="N306" s="2202"/>
      <c r="O306" s="655"/>
      <c r="P306" s="655"/>
      <c r="Q306" s="655"/>
      <c r="R306" s="655"/>
      <c r="S306" s="655"/>
    </row>
    <row r="307" spans="2:19">
      <c r="B307" s="788"/>
      <c r="C307" s="789"/>
      <c r="D307" s="783"/>
      <c r="E307" s="655"/>
      <c r="F307" s="655"/>
      <c r="G307" s="818"/>
      <c r="H307" s="655"/>
      <c r="I307" s="655"/>
      <c r="J307" s="929"/>
      <c r="K307" s="791"/>
      <c r="L307" s="791"/>
      <c r="M307" s="2202"/>
      <c r="N307" s="2202"/>
      <c r="O307" s="655"/>
      <c r="P307" s="655"/>
      <c r="Q307" s="655"/>
      <c r="R307" s="655"/>
      <c r="S307" s="655"/>
    </row>
    <row r="308" spans="2:19" ht="20.25" customHeight="1">
      <c r="B308" s="933" t="s">
        <v>12</v>
      </c>
      <c r="C308" s="934"/>
      <c r="D308" s="2433" t="s">
        <v>1366</v>
      </c>
      <c r="E308" s="2433"/>
      <c r="F308" s="2433"/>
      <c r="G308" s="2433"/>
      <c r="H308" s="2433"/>
      <c r="I308" s="2433"/>
      <c r="J308" s="2433"/>
      <c r="K308" s="791"/>
      <c r="L308" s="791"/>
      <c r="M308" s="2202"/>
      <c r="N308" s="2202"/>
      <c r="O308" s="655"/>
      <c r="P308" s="655"/>
      <c r="Q308" s="655"/>
      <c r="R308" s="655"/>
      <c r="S308" s="655"/>
    </row>
    <row r="309" spans="2:19">
      <c r="B309" s="662"/>
      <c r="D309" s="783"/>
      <c r="J309" s="860"/>
      <c r="K309" s="791"/>
      <c r="L309" s="791"/>
      <c r="M309" s="2202"/>
      <c r="N309" s="2202"/>
      <c r="O309" s="655"/>
      <c r="P309" s="655"/>
      <c r="Q309" s="655"/>
      <c r="R309" s="655"/>
      <c r="S309" s="655"/>
    </row>
    <row r="310" spans="2:19">
      <c r="B310" s="788" t="s">
        <v>13</v>
      </c>
      <c r="C310" s="789"/>
      <c r="D310" s="783" t="s">
        <v>534</v>
      </c>
      <c r="J310" s="860"/>
      <c r="K310" s="791"/>
      <c r="L310" s="791"/>
      <c r="M310" s="2202"/>
      <c r="N310" s="2202"/>
      <c r="O310" s="655"/>
      <c r="P310" s="655"/>
      <c r="Q310" s="655"/>
      <c r="R310" s="655"/>
      <c r="S310" s="655"/>
    </row>
    <row r="311" spans="2:19">
      <c r="B311" s="788"/>
      <c r="C311" s="789"/>
      <c r="D311" s="783"/>
      <c r="E311" s="655"/>
      <c r="F311" s="655"/>
      <c r="G311" s="655"/>
      <c r="H311" s="655"/>
      <c r="I311" s="655"/>
      <c r="J311" s="929"/>
      <c r="K311" s="791"/>
      <c r="L311" s="791"/>
      <c r="M311" s="2202"/>
      <c r="N311" s="2202"/>
      <c r="O311" s="655"/>
      <c r="P311" s="655"/>
      <c r="Q311" s="655"/>
      <c r="R311" s="655"/>
      <c r="S311" s="655"/>
    </row>
    <row r="312" spans="2:19">
      <c r="B312" s="788" t="s">
        <v>14</v>
      </c>
      <c r="C312" s="789"/>
      <c r="D312" s="783" t="s">
        <v>143</v>
      </c>
      <c r="E312" s="655"/>
      <c r="F312" s="655"/>
      <c r="G312" s="655"/>
      <c r="H312" s="655"/>
      <c r="I312" s="655"/>
      <c r="J312" s="929"/>
      <c r="K312" s="791"/>
      <c r="L312" s="791"/>
      <c r="M312" s="2202"/>
      <c r="N312" s="2202"/>
      <c r="O312" s="655"/>
      <c r="P312" s="655"/>
      <c r="Q312" s="655"/>
      <c r="R312" s="655"/>
      <c r="S312" s="655"/>
    </row>
    <row r="313" spans="2:19">
      <c r="B313" s="788"/>
      <c r="C313" s="789"/>
      <c r="D313" s="783"/>
      <c r="E313" s="655"/>
      <c r="F313" s="655"/>
      <c r="G313" s="655"/>
      <c r="H313" s="655"/>
      <c r="I313" s="655"/>
      <c r="J313" s="929"/>
      <c r="K313" s="791"/>
      <c r="L313" s="791"/>
      <c r="M313" s="2202"/>
      <c r="N313" s="2202"/>
      <c r="O313" s="655"/>
      <c r="P313" s="655"/>
      <c r="Q313" s="655"/>
      <c r="R313" s="655"/>
      <c r="S313" s="655"/>
    </row>
    <row r="314" spans="2:19" ht="20.25" customHeight="1">
      <c r="B314" s="866" t="s">
        <v>55</v>
      </c>
      <c r="C314" s="863"/>
      <c r="D314" s="783"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860"/>
      <c r="M314" s="2202"/>
      <c r="N314" s="2202"/>
      <c r="O314" s="655"/>
      <c r="P314" s="655"/>
      <c r="Q314" s="655"/>
      <c r="R314" s="655"/>
      <c r="S314" s="655"/>
    </row>
    <row r="315" spans="2:19" ht="18" customHeight="1">
      <c r="D315" s="783" t="s">
        <v>1785</v>
      </c>
      <c r="J315" s="860"/>
      <c r="M315" s="2202"/>
      <c r="N315" s="2202"/>
      <c r="O315" s="655"/>
      <c r="P315" s="655"/>
      <c r="Q315" s="655"/>
      <c r="R315" s="655"/>
      <c r="S315" s="655"/>
    </row>
    <row r="316" spans="2:19" ht="17.25" customHeight="1">
      <c r="D316" s="783" t="s">
        <v>1786</v>
      </c>
      <c r="J316" s="860"/>
      <c r="M316" s="2202"/>
      <c r="N316" s="2202"/>
      <c r="O316" s="655"/>
      <c r="P316" s="655"/>
      <c r="Q316" s="655"/>
      <c r="R316" s="655"/>
      <c r="S316" s="655"/>
    </row>
    <row r="317" spans="2:19" ht="45" customHeight="1">
      <c r="D317" s="2425" t="s">
        <v>868</v>
      </c>
      <c r="E317" s="2425"/>
      <c r="F317" s="2425"/>
      <c r="G317" s="2425"/>
      <c r="H317" s="2425"/>
      <c r="I317" s="2425"/>
      <c r="J317" s="2425"/>
      <c r="M317" s="2202"/>
      <c r="N317" s="2202"/>
      <c r="O317" s="655"/>
      <c r="P317" s="655"/>
      <c r="Q317" s="655"/>
      <c r="R317" s="655"/>
      <c r="S317" s="655"/>
    </row>
    <row r="318" spans="2:19" ht="12" customHeight="1">
      <c r="D318" s="855"/>
      <c r="E318" s="855"/>
      <c r="F318" s="855"/>
      <c r="G318" s="855"/>
      <c r="H318" s="855"/>
      <c r="I318" s="855"/>
      <c r="J318" s="855"/>
      <c r="M318" s="2202"/>
      <c r="N318" s="2202"/>
      <c r="O318" s="655"/>
      <c r="P318" s="655"/>
      <c r="Q318" s="655"/>
      <c r="R318" s="655"/>
      <c r="S318" s="655"/>
    </row>
    <row r="319" spans="2:19">
      <c r="B319" s="788" t="s">
        <v>940</v>
      </c>
      <c r="C319" s="789"/>
      <c r="D319" s="527" t="s">
        <v>1158</v>
      </c>
      <c r="M319" s="2202"/>
      <c r="N319" s="2202"/>
      <c r="O319" s="655"/>
      <c r="P319" s="655"/>
      <c r="Q319" s="655"/>
      <c r="R319" s="655"/>
      <c r="S319" s="655"/>
    </row>
    <row r="320" spans="2:19">
      <c r="B320" s="788"/>
      <c r="C320" s="789"/>
      <c r="M320" s="2202"/>
      <c r="N320" s="2202"/>
      <c r="O320" s="655"/>
      <c r="P320" s="655"/>
      <c r="Q320" s="655"/>
      <c r="R320" s="655"/>
      <c r="S320" s="655"/>
    </row>
    <row r="321" spans="2:19" ht="33.75" customHeight="1">
      <c r="B321" s="933" t="s">
        <v>1159</v>
      </c>
      <c r="C321" s="934"/>
      <c r="D321" s="2426" t="s">
        <v>1189</v>
      </c>
      <c r="E321" s="2426"/>
      <c r="F321" s="2426"/>
      <c r="G321" s="2426"/>
      <c r="H321" s="2426"/>
      <c r="I321" s="2426"/>
      <c r="J321" s="2426"/>
      <c r="M321" s="2202"/>
      <c r="N321" s="2202"/>
      <c r="O321" s="655"/>
      <c r="P321" s="655"/>
      <c r="Q321" s="655"/>
      <c r="R321" s="655"/>
      <c r="S321" s="655"/>
    </row>
    <row r="322" spans="2:19" ht="52.5" customHeight="1">
      <c r="B322" s="933" t="s">
        <v>1372</v>
      </c>
      <c r="C322" s="934"/>
      <c r="D322" s="2426" t="s">
        <v>1373</v>
      </c>
      <c r="E322" s="2426"/>
      <c r="F322" s="2426"/>
      <c r="G322" s="2426"/>
      <c r="H322" s="2426"/>
      <c r="I322" s="2426"/>
      <c r="J322" s="2426"/>
      <c r="M322" s="2202"/>
      <c r="N322" s="2202"/>
      <c r="O322" s="655"/>
      <c r="P322" s="655"/>
      <c r="Q322" s="655"/>
      <c r="R322" s="655"/>
      <c r="S322" s="655"/>
    </row>
    <row r="323" spans="2:19" ht="51" customHeight="1">
      <c r="B323" s="933" t="s">
        <v>1374</v>
      </c>
      <c r="C323" s="934"/>
      <c r="D323" s="2426" t="s">
        <v>1375</v>
      </c>
      <c r="E323" s="2426"/>
      <c r="F323" s="2426"/>
      <c r="G323" s="2426"/>
      <c r="H323" s="2426"/>
      <c r="I323" s="2426"/>
      <c r="J323" s="2426"/>
      <c r="M323" s="2202"/>
      <c r="N323" s="2202"/>
      <c r="O323" s="655"/>
      <c r="P323" s="655"/>
      <c r="Q323" s="655"/>
      <c r="R323" s="655"/>
      <c r="S323" s="655"/>
    </row>
    <row r="324" spans="2:19">
      <c r="B324" s="791"/>
      <c r="C324" s="791"/>
      <c r="D324" s="791"/>
      <c r="E324" s="791"/>
      <c r="F324" s="791"/>
      <c r="G324" s="791"/>
      <c r="H324" s="791"/>
      <c r="M324" s="2202"/>
      <c r="N324" s="2202"/>
      <c r="O324" s="655"/>
      <c r="P324" s="655"/>
      <c r="Q324" s="655"/>
      <c r="R324" s="655"/>
      <c r="S324" s="655"/>
    </row>
    <row r="325" spans="2:19">
      <c r="B325" s="791"/>
      <c r="C325" s="791"/>
      <c r="D325" s="791"/>
      <c r="E325" s="791"/>
      <c r="F325" s="791"/>
      <c r="G325" s="791"/>
      <c r="H325" s="791"/>
      <c r="M325" s="2202"/>
      <c r="N325" s="2202"/>
      <c r="O325" s="655"/>
      <c r="P325" s="655"/>
      <c r="Q325" s="655"/>
      <c r="R325" s="655"/>
      <c r="S325" s="655"/>
    </row>
    <row r="326" spans="2:19">
      <c r="B326" s="791"/>
      <c r="C326" s="791"/>
      <c r="D326" s="791"/>
      <c r="E326" s="791"/>
      <c r="F326" s="791"/>
      <c r="G326" s="791"/>
      <c r="H326" s="791"/>
      <c r="M326" s="2202"/>
      <c r="N326" s="2202"/>
      <c r="O326" s="655"/>
      <c r="P326" s="655"/>
      <c r="Q326" s="655"/>
      <c r="R326" s="655"/>
      <c r="S326" s="655"/>
    </row>
    <row r="327" spans="2:19">
      <c r="B327" s="791"/>
      <c r="C327" s="791"/>
      <c r="D327" s="791"/>
      <c r="E327" s="791"/>
      <c r="F327" s="791"/>
      <c r="G327" s="791"/>
      <c r="H327" s="791"/>
      <c r="M327" s="2202"/>
      <c r="N327" s="2202"/>
      <c r="O327" s="655"/>
      <c r="P327" s="655"/>
      <c r="Q327" s="655"/>
      <c r="R327" s="655"/>
      <c r="S327" s="655"/>
    </row>
    <row r="328" spans="2:19">
      <c r="B328" s="791"/>
      <c r="C328" s="791"/>
      <c r="D328" s="791"/>
      <c r="E328" s="791"/>
      <c r="F328" s="791"/>
      <c r="G328" s="791"/>
      <c r="H328" s="791"/>
      <c r="M328" s="2202"/>
      <c r="N328" s="2202"/>
      <c r="O328" s="655"/>
      <c r="P328" s="655"/>
      <c r="Q328" s="655"/>
      <c r="R328" s="655"/>
      <c r="S328" s="655"/>
    </row>
    <row r="329" spans="2:19">
      <c r="B329" s="791"/>
      <c r="C329" s="791"/>
      <c r="D329" s="791"/>
      <c r="E329" s="791"/>
      <c r="F329" s="791"/>
      <c r="G329" s="791"/>
      <c r="H329" s="791"/>
      <c r="M329" s="2202"/>
      <c r="N329" s="2202"/>
      <c r="O329" s="655"/>
      <c r="P329" s="655"/>
      <c r="Q329" s="655"/>
      <c r="R329" s="655"/>
      <c r="S329" s="655"/>
    </row>
    <row r="330" spans="2:19">
      <c r="B330" s="791"/>
      <c r="C330" s="791"/>
      <c r="D330" s="791"/>
      <c r="E330" s="791"/>
      <c r="F330" s="791"/>
      <c r="G330" s="791"/>
      <c r="H330" s="791"/>
      <c r="M330" s="2202"/>
      <c r="N330" s="2202"/>
      <c r="O330" s="655"/>
      <c r="P330" s="655"/>
      <c r="Q330" s="655"/>
      <c r="R330" s="655"/>
      <c r="S330" s="655"/>
    </row>
    <row r="331" spans="2:19">
      <c r="B331" s="791"/>
      <c r="C331" s="791"/>
      <c r="D331" s="791"/>
      <c r="E331" s="791"/>
      <c r="F331" s="791"/>
      <c r="G331" s="791"/>
      <c r="H331" s="791"/>
      <c r="M331" s="2202"/>
      <c r="N331" s="2202"/>
      <c r="O331" s="655"/>
      <c r="P331" s="655"/>
      <c r="Q331" s="655"/>
      <c r="R331" s="655"/>
      <c r="S331" s="655"/>
    </row>
    <row r="332" spans="2:19">
      <c r="B332" s="788"/>
      <c r="C332" s="789"/>
      <c r="M332" s="2202"/>
      <c r="N332" s="2202"/>
      <c r="O332" s="655"/>
      <c r="P332" s="655"/>
      <c r="Q332" s="655"/>
      <c r="R332" s="655"/>
      <c r="S332" s="655"/>
    </row>
    <row r="333" spans="2:19">
      <c r="B333" s="662"/>
      <c r="M333" s="2202"/>
      <c r="N333" s="2202"/>
      <c r="O333" s="655"/>
      <c r="P333" s="655"/>
      <c r="Q333" s="655"/>
      <c r="R333" s="655"/>
      <c r="S333" s="655"/>
    </row>
    <row r="334" spans="2:19">
      <c r="B334" s="662"/>
      <c r="M334" s="2202"/>
      <c r="N334" s="2202"/>
      <c r="O334" s="655"/>
      <c r="P334" s="655"/>
      <c r="Q334" s="655"/>
      <c r="R334" s="655"/>
      <c r="S334" s="655"/>
    </row>
    <row r="335" spans="2:19">
      <c r="B335" s="662"/>
      <c r="M335" s="2202"/>
      <c r="N335" s="2202"/>
      <c r="O335" s="655"/>
      <c r="P335" s="655"/>
      <c r="Q335" s="655"/>
      <c r="R335" s="655"/>
      <c r="S335" s="655"/>
    </row>
    <row r="336" spans="2:19">
      <c r="B336" s="662"/>
      <c r="H336" s="655"/>
      <c r="I336" s="655"/>
      <c r="J336" s="655"/>
      <c r="K336" s="655"/>
      <c r="L336" s="655"/>
      <c r="M336" s="2202"/>
      <c r="N336" s="2202"/>
      <c r="O336" s="655"/>
      <c r="P336" s="655"/>
      <c r="Q336" s="655"/>
      <c r="R336" s="655"/>
      <c r="S336" s="655"/>
    </row>
    <row r="337" spans="2:19">
      <c r="B337" s="662"/>
      <c r="H337" s="655"/>
      <c r="K337" s="655"/>
      <c r="L337" s="655"/>
      <c r="M337" s="2202"/>
      <c r="N337" s="2202"/>
      <c r="O337" s="655"/>
      <c r="P337" s="655"/>
      <c r="Q337" s="655"/>
      <c r="R337" s="655"/>
      <c r="S337" s="655"/>
    </row>
    <row r="338" spans="2:19">
      <c r="B338" s="662"/>
      <c r="H338" s="655"/>
      <c r="I338" s="655"/>
      <c r="J338" s="935"/>
      <c r="K338" s="655"/>
      <c r="L338" s="655"/>
      <c r="M338" s="2202"/>
      <c r="N338" s="2202"/>
      <c r="O338" s="655"/>
      <c r="P338" s="655"/>
      <c r="Q338" s="655"/>
      <c r="R338" s="655"/>
      <c r="S338" s="655"/>
    </row>
    <row r="339" spans="2:19">
      <c r="B339" s="662"/>
      <c r="H339" s="655"/>
      <c r="I339" s="789"/>
      <c r="J339" s="935"/>
      <c r="K339" s="655"/>
      <c r="L339" s="655"/>
      <c r="M339" s="2202"/>
      <c r="N339" s="2202"/>
      <c r="O339" s="655"/>
      <c r="P339" s="655"/>
      <c r="Q339" s="655"/>
      <c r="R339" s="655"/>
      <c r="S339" s="655"/>
    </row>
    <row r="340" spans="2:19">
      <c r="B340" s="662"/>
      <c r="H340" s="655"/>
      <c r="I340" s="789"/>
      <c r="J340" s="935"/>
      <c r="K340" s="655"/>
      <c r="L340" s="655"/>
      <c r="M340" s="2202"/>
      <c r="N340" s="2202"/>
      <c r="O340" s="655"/>
      <c r="P340" s="655"/>
      <c r="Q340" s="655"/>
      <c r="R340" s="655"/>
      <c r="S340" s="655"/>
    </row>
    <row r="341" spans="2:19">
      <c r="B341" s="662"/>
      <c r="H341" s="655"/>
      <c r="I341" s="789"/>
      <c r="J341" s="935"/>
      <c r="K341" s="655"/>
      <c r="L341" s="655"/>
      <c r="M341" s="2202"/>
      <c r="N341" s="2202"/>
      <c r="O341" s="655"/>
      <c r="P341" s="655"/>
      <c r="Q341" s="655"/>
      <c r="R341" s="655"/>
      <c r="S341" s="655"/>
    </row>
    <row r="342" spans="2:19">
      <c r="B342" s="936"/>
      <c r="C342" s="655"/>
      <c r="D342" s="655"/>
      <c r="E342" s="655"/>
      <c r="F342" s="655"/>
      <c r="G342" s="655"/>
      <c r="H342" s="655"/>
      <c r="I342" s="789"/>
      <c r="J342" s="937"/>
      <c r="K342" s="655"/>
      <c r="L342" s="655"/>
      <c r="M342" s="2202"/>
      <c r="N342" s="2202"/>
      <c r="O342" s="655"/>
      <c r="P342" s="655"/>
      <c r="Q342" s="655"/>
      <c r="R342" s="655"/>
      <c r="S342" s="655"/>
    </row>
    <row r="343" spans="2:19">
      <c r="B343" s="936"/>
      <c r="C343" s="655"/>
      <c r="D343" s="655"/>
      <c r="E343" s="655"/>
      <c r="F343" s="655"/>
      <c r="G343" s="655"/>
      <c r="H343" s="655"/>
      <c r="I343" s="789"/>
      <c r="J343" s="935"/>
      <c r="K343" s="655"/>
      <c r="L343" s="655"/>
      <c r="M343" s="2202"/>
      <c r="N343" s="2202"/>
      <c r="O343" s="655"/>
      <c r="P343" s="655"/>
      <c r="Q343" s="655"/>
      <c r="R343" s="655"/>
      <c r="S343" s="655"/>
    </row>
    <row r="344" spans="2:19">
      <c r="B344" s="936"/>
      <c r="C344" s="655"/>
      <c r="D344" s="655"/>
      <c r="E344" s="655"/>
      <c r="F344" s="655"/>
      <c r="G344" s="655"/>
      <c r="H344" s="655"/>
      <c r="I344" s="789"/>
      <c r="J344" s="935"/>
      <c r="K344" s="655"/>
      <c r="L344" s="655"/>
      <c r="M344" s="2202"/>
      <c r="N344" s="2202"/>
      <c r="O344" s="655"/>
      <c r="P344" s="655"/>
      <c r="Q344" s="655"/>
      <c r="R344" s="655"/>
      <c r="S344" s="655"/>
    </row>
    <row r="345" spans="2:19">
      <c r="I345" s="789"/>
      <c r="J345" s="935"/>
      <c r="M345" s="2202"/>
      <c r="N345" s="2202"/>
    </row>
    <row r="346" spans="2:19">
      <c r="I346" s="789"/>
      <c r="J346" s="935"/>
      <c r="M346" s="2202"/>
      <c r="N346" s="2202"/>
    </row>
    <row r="347" spans="2:19">
      <c r="M347" s="2202"/>
      <c r="N347" s="2202"/>
    </row>
    <row r="348" spans="2:19">
      <c r="M348" s="2202"/>
      <c r="N348" s="2202"/>
    </row>
    <row r="349" spans="2:19">
      <c r="M349" s="2202"/>
      <c r="N349" s="2202"/>
    </row>
    <row r="350" spans="2:19">
      <c r="M350" s="2202"/>
      <c r="N350" s="2202"/>
    </row>
    <row r="351" spans="2:19">
      <c r="M351" s="2202"/>
      <c r="N351" s="2202"/>
    </row>
    <row r="352" spans="2:19">
      <c r="M352" s="2202"/>
      <c r="N352" s="2202"/>
    </row>
    <row r="353" spans="13:14">
      <c r="M353" s="2202"/>
      <c r="N353" s="2202"/>
    </row>
    <row r="354" spans="13:14">
      <c r="M354" s="2202"/>
      <c r="N354" s="2202"/>
    </row>
    <row r="355" spans="13:14">
      <c r="M355" s="2202"/>
      <c r="N355" s="2202"/>
    </row>
    <row r="356" spans="13:14">
      <c r="M356" s="2202"/>
      <c r="N356" s="2202"/>
    </row>
    <row r="357" spans="13:14">
      <c r="M357" s="2202"/>
      <c r="N357" s="2202"/>
    </row>
    <row r="358" spans="13:14">
      <c r="M358" s="2202"/>
      <c r="N358" s="2202"/>
    </row>
    <row r="359" spans="13:14">
      <c r="M359" s="2202"/>
      <c r="N359" s="2202"/>
    </row>
    <row r="360" spans="13:14">
      <c r="M360" s="2202"/>
      <c r="N360" s="2202"/>
    </row>
    <row r="361" spans="13:14">
      <c r="M361" s="2202"/>
      <c r="N361" s="2202"/>
    </row>
    <row r="362" spans="13:14">
      <c r="M362" s="2202"/>
      <c r="N362" s="2202"/>
    </row>
    <row r="363" spans="13:14">
      <c r="M363" s="2202"/>
      <c r="N363" s="2202"/>
    </row>
    <row r="364" spans="13:14">
      <c r="M364" s="2202"/>
      <c r="N364" s="2202"/>
    </row>
    <row r="365" spans="13:14">
      <c r="M365" s="2202"/>
      <c r="N365" s="2202"/>
    </row>
    <row r="366" spans="13:14">
      <c r="M366" s="2202"/>
      <c r="N366" s="2202"/>
    </row>
    <row r="367" spans="13:14">
      <c r="M367" s="2202"/>
      <c r="N367" s="2202"/>
    </row>
    <row r="368" spans="13:14">
      <c r="M368" s="2202"/>
      <c r="N368" s="2202"/>
    </row>
    <row r="369" spans="13:14">
      <c r="M369" s="2202"/>
      <c r="N369" s="2202"/>
    </row>
    <row r="370" spans="13:14">
      <c r="M370" s="2202"/>
      <c r="N370" s="2202"/>
    </row>
    <row r="371" spans="13:14">
      <c r="M371" s="2202"/>
      <c r="N371" s="2202"/>
    </row>
    <row r="372" spans="13:14">
      <c r="M372" s="2202"/>
      <c r="N372" s="2202"/>
    </row>
    <row r="373" spans="13:14">
      <c r="M373" s="2202"/>
      <c r="N373" s="2202"/>
    </row>
    <row r="374" spans="13:14">
      <c r="M374" s="2202"/>
      <c r="N374" s="2202"/>
    </row>
    <row r="375" spans="13:14">
      <c r="M375" s="2202"/>
      <c r="N375" s="2202"/>
    </row>
    <row r="376" spans="13:14">
      <c r="M376" s="2202"/>
      <c r="N376" s="2202"/>
    </row>
    <row r="377" spans="13:14">
      <c r="M377" s="2202"/>
      <c r="N377" s="2202"/>
    </row>
    <row r="378" spans="13:14">
      <c r="M378" s="2202"/>
      <c r="N378" s="2202"/>
    </row>
    <row r="379" spans="13:14">
      <c r="M379" s="2202"/>
      <c r="N379" s="2202"/>
    </row>
    <row r="380" spans="13:14">
      <c r="M380" s="2202"/>
      <c r="N380" s="2202"/>
    </row>
    <row r="381" spans="13:14">
      <c r="M381" s="2202"/>
      <c r="N381" s="2202"/>
    </row>
    <row r="382" spans="13:14">
      <c r="M382" s="2202"/>
      <c r="N382" s="2202"/>
    </row>
    <row r="383" spans="13:14">
      <c r="M383" s="2202"/>
      <c r="N383" s="2202"/>
    </row>
    <row r="384" spans="13:14">
      <c r="M384" s="2202"/>
      <c r="N384" s="2202"/>
    </row>
    <row r="385" spans="13:14">
      <c r="M385" s="2202"/>
      <c r="N385" s="2202"/>
    </row>
    <row r="386" spans="13:14">
      <c r="M386" s="2202"/>
      <c r="N386" s="2202"/>
    </row>
    <row r="387" spans="13:14">
      <c r="M387" s="2202"/>
      <c r="N387" s="2202"/>
    </row>
    <row r="388" spans="13:14">
      <c r="M388" s="2202"/>
      <c r="N388" s="2202"/>
    </row>
    <row r="389" spans="13:14">
      <c r="M389" s="2202"/>
      <c r="N389" s="2202"/>
    </row>
    <row r="390" spans="13:14">
      <c r="M390" s="2202"/>
      <c r="N390" s="2202"/>
    </row>
    <row r="391" spans="13:14">
      <c r="M391" s="2202"/>
      <c r="N391" s="2202"/>
    </row>
    <row r="392" spans="13:14">
      <c r="M392" s="2202"/>
      <c r="N392" s="2202"/>
    </row>
    <row r="393" spans="13:14">
      <c r="M393" s="2202"/>
      <c r="N393" s="2202"/>
    </row>
    <row r="394" spans="13:14">
      <c r="M394" s="2202"/>
      <c r="N394" s="2202"/>
    </row>
    <row r="395" spans="13:14">
      <c r="M395" s="2202"/>
      <c r="N395" s="2202"/>
    </row>
    <row r="396" spans="13:14">
      <c r="M396" s="2202"/>
      <c r="N396" s="2202"/>
    </row>
    <row r="397" spans="13:14">
      <c r="M397" s="2202"/>
      <c r="N397" s="2202"/>
    </row>
    <row r="398" spans="13:14">
      <c r="M398" s="2202"/>
      <c r="N398" s="2202"/>
    </row>
    <row r="399" spans="13:14">
      <c r="M399" s="2202"/>
      <c r="N399" s="2202"/>
    </row>
    <row r="400" spans="13:14">
      <c r="M400" s="2202"/>
      <c r="N400" s="2202"/>
    </row>
    <row r="401" spans="13:14">
      <c r="M401" s="2202"/>
      <c r="N401" s="2202"/>
    </row>
    <row r="402" spans="13:14">
      <c r="M402" s="2202"/>
      <c r="N402" s="2202"/>
    </row>
    <row r="403" spans="13:14">
      <c r="M403" s="2202"/>
      <c r="N403" s="2202"/>
    </row>
    <row r="404" spans="13:14">
      <c r="M404" s="2202"/>
      <c r="N404" s="2202"/>
    </row>
    <row r="405" spans="13:14">
      <c r="M405" s="2202"/>
      <c r="N405" s="2202"/>
    </row>
    <row r="406" spans="13:14">
      <c r="M406" s="2202"/>
      <c r="N406" s="2202"/>
    </row>
    <row r="407" spans="13:14">
      <c r="M407" s="2202"/>
      <c r="N407" s="2202"/>
    </row>
    <row r="408" spans="13:14">
      <c r="M408" s="2202"/>
      <c r="N408" s="2202"/>
    </row>
    <row r="409" spans="13:14">
      <c r="M409" s="2202"/>
      <c r="N409" s="2202"/>
    </row>
    <row r="410" spans="13:14">
      <c r="M410" s="2202"/>
      <c r="N410" s="2202"/>
    </row>
    <row r="411" spans="13:14">
      <c r="M411" s="2202"/>
      <c r="N411" s="2202"/>
    </row>
    <row r="412" spans="13:14">
      <c r="M412" s="2202"/>
      <c r="N412" s="2202"/>
    </row>
    <row r="413" spans="13:14">
      <c r="M413" s="2202"/>
      <c r="N413" s="2202"/>
    </row>
    <row r="414" spans="13:14">
      <c r="M414" s="2202"/>
      <c r="N414" s="2202"/>
    </row>
    <row r="415" spans="13:14">
      <c r="M415" s="2202"/>
      <c r="N415" s="2202"/>
    </row>
    <row r="416" spans="13:14">
      <c r="M416" s="2202"/>
      <c r="N416" s="2202"/>
    </row>
    <row r="417" spans="13:14">
      <c r="M417" s="2202"/>
      <c r="N417" s="2202"/>
    </row>
    <row r="418" spans="13:14">
      <c r="M418" s="2202"/>
      <c r="N418" s="2202"/>
    </row>
    <row r="419" spans="13:14">
      <c r="M419" s="2202"/>
      <c r="N419" s="2202"/>
    </row>
    <row r="420" spans="13:14">
      <c r="M420" s="2202"/>
      <c r="N420" s="2202"/>
    </row>
    <row r="421" spans="13:14">
      <c r="M421" s="2202"/>
      <c r="N421" s="2202"/>
    </row>
    <row r="422" spans="13:14">
      <c r="M422" s="2202"/>
      <c r="N422" s="2202"/>
    </row>
    <row r="423" spans="13:14">
      <c r="M423" s="2202"/>
      <c r="N423" s="2202"/>
    </row>
    <row r="424" spans="13:14">
      <c r="M424" s="2202"/>
      <c r="N424" s="2202"/>
    </row>
    <row r="425" spans="13:14">
      <c r="M425" s="2202"/>
      <c r="N425" s="2202"/>
    </row>
    <row r="426" spans="13:14">
      <c r="M426" s="2202"/>
      <c r="N426" s="2202"/>
    </row>
    <row r="427" spans="13:14">
      <c r="M427" s="2202"/>
      <c r="N427" s="2202"/>
    </row>
    <row r="428" spans="13:14">
      <c r="M428" s="2202"/>
      <c r="N428" s="2202"/>
    </row>
    <row r="429" spans="13:14">
      <c r="M429" s="2202"/>
      <c r="N429" s="2202"/>
    </row>
    <row r="430" spans="13:14">
      <c r="M430" s="2202"/>
      <c r="N430" s="2202"/>
    </row>
    <row r="431" spans="13:14">
      <c r="M431" s="2202"/>
      <c r="N431" s="2202"/>
    </row>
    <row r="432" spans="13:14">
      <c r="M432" s="2202"/>
      <c r="N432" s="2202"/>
    </row>
    <row r="433" spans="13:14">
      <c r="M433" s="2202"/>
      <c r="N433" s="2202"/>
    </row>
    <row r="434" spans="13:14">
      <c r="M434" s="2202"/>
      <c r="N434" s="2202"/>
    </row>
    <row r="435" spans="13:14">
      <c r="M435" s="2202"/>
      <c r="N435" s="2202"/>
    </row>
    <row r="436" spans="13:14">
      <c r="M436" s="2202"/>
      <c r="N436" s="2202"/>
    </row>
    <row r="437" spans="13:14">
      <c r="M437" s="2202"/>
      <c r="N437" s="2202"/>
    </row>
    <row r="438" spans="13:14">
      <c r="M438" s="2202"/>
      <c r="N438" s="2202"/>
    </row>
    <row r="439" spans="13:14">
      <c r="M439" s="2202"/>
      <c r="N439" s="2202"/>
    </row>
    <row r="440" spans="13:14">
      <c r="M440" s="2202"/>
      <c r="N440" s="2202"/>
    </row>
    <row r="441" spans="13:14">
      <c r="M441" s="2202"/>
      <c r="N441" s="2202"/>
    </row>
    <row r="442" spans="13:14">
      <c r="M442" s="2202"/>
      <c r="N442" s="2202"/>
    </row>
    <row r="443" spans="13:14">
      <c r="M443" s="2202"/>
      <c r="N443" s="2202"/>
    </row>
    <row r="444" spans="13:14">
      <c r="M444" s="2202"/>
      <c r="N444" s="2202"/>
    </row>
    <row r="445" spans="13:14">
      <c r="M445" s="2202"/>
      <c r="N445" s="2202"/>
    </row>
    <row r="446" spans="13:14">
      <c r="M446" s="2202"/>
      <c r="N446" s="2202"/>
    </row>
    <row r="447" spans="13:14">
      <c r="M447" s="2202"/>
      <c r="N447" s="2202"/>
    </row>
    <row r="448" spans="13:14">
      <c r="M448" s="2202"/>
      <c r="N448" s="2202"/>
    </row>
    <row r="449" spans="13:14">
      <c r="M449" s="2202"/>
      <c r="N449" s="2202"/>
    </row>
    <row r="450" spans="13:14">
      <c r="M450" s="2202"/>
      <c r="N450" s="2202"/>
    </row>
    <row r="451" spans="13:14">
      <c r="M451" s="2202"/>
      <c r="N451" s="2202"/>
    </row>
    <row r="452" spans="13:14">
      <c r="M452" s="2202"/>
      <c r="N452" s="2202"/>
    </row>
    <row r="453" spans="13:14">
      <c r="M453" s="2202"/>
      <c r="N453" s="2202"/>
    </row>
    <row r="454" spans="13:14">
      <c r="M454" s="2202"/>
      <c r="N454" s="2202"/>
    </row>
    <row r="455" spans="13:14">
      <c r="M455" s="2202"/>
      <c r="N455" s="2202"/>
    </row>
    <row r="456" spans="13:14">
      <c r="M456" s="2202"/>
      <c r="N456" s="2202"/>
    </row>
    <row r="457" spans="13:14">
      <c r="M457" s="2202"/>
      <c r="N457" s="2202"/>
    </row>
    <row r="458" spans="13:14">
      <c r="M458" s="2202"/>
      <c r="N458" s="2202"/>
    </row>
    <row r="459" spans="13:14">
      <c r="M459" s="2202"/>
      <c r="N459" s="2202"/>
    </row>
    <row r="460" spans="13:14">
      <c r="M460" s="2202"/>
      <c r="N460" s="2202"/>
    </row>
    <row r="461" spans="13:14">
      <c r="M461" s="2202"/>
      <c r="N461" s="2202"/>
    </row>
    <row r="462" spans="13:14">
      <c r="M462" s="2202"/>
      <c r="N462" s="2202"/>
    </row>
    <row r="463" spans="13:14">
      <c r="M463" s="2202"/>
      <c r="N463" s="2202"/>
    </row>
    <row r="464" spans="13:14">
      <c r="M464" s="2202"/>
      <c r="N464" s="2202"/>
    </row>
    <row r="465" spans="13:14">
      <c r="M465" s="2202"/>
      <c r="N465" s="2202"/>
    </row>
    <row r="466" spans="13:14">
      <c r="M466" s="2202"/>
      <c r="N466" s="2202"/>
    </row>
    <row r="467" spans="13:14">
      <c r="M467" s="2202"/>
      <c r="N467" s="2202"/>
    </row>
    <row r="468" spans="13:14">
      <c r="M468" s="2202"/>
      <c r="N468" s="2202"/>
    </row>
    <row r="469" spans="13:14">
      <c r="M469" s="2202"/>
      <c r="N469" s="2202"/>
    </row>
    <row r="470" spans="13:14">
      <c r="M470" s="2202"/>
      <c r="N470" s="2202"/>
    </row>
    <row r="471" spans="13:14">
      <c r="M471" s="2202"/>
      <c r="N471" s="2202"/>
    </row>
    <row r="472" spans="13:14">
      <c r="M472" s="2202"/>
      <c r="N472" s="2202"/>
    </row>
    <row r="473" spans="13:14">
      <c r="M473" s="2202"/>
      <c r="N473" s="2202"/>
    </row>
    <row r="474" spans="13:14">
      <c r="M474" s="2202"/>
      <c r="N474" s="2202"/>
    </row>
    <row r="475" spans="13:14">
      <c r="M475" s="2202"/>
      <c r="N475" s="2202"/>
    </row>
    <row r="476" spans="13:14">
      <c r="M476" s="2202"/>
      <c r="N476" s="2202"/>
    </row>
    <row r="477" spans="13:14">
      <c r="M477" s="2202"/>
      <c r="N477" s="2202"/>
    </row>
    <row r="478" spans="13:14">
      <c r="M478" s="2202"/>
      <c r="N478" s="2202"/>
    </row>
    <row r="479" spans="13:14">
      <c r="M479" s="2202"/>
      <c r="N479" s="2202"/>
    </row>
    <row r="480" spans="13:14">
      <c r="M480" s="2202"/>
      <c r="N480" s="2202"/>
    </row>
    <row r="481" spans="13:14">
      <c r="M481" s="2202"/>
      <c r="N481" s="2202"/>
    </row>
    <row r="482" spans="13:14">
      <c r="M482" s="2202"/>
      <c r="N482" s="2202"/>
    </row>
    <row r="483" spans="13:14">
      <c r="M483" s="2202"/>
      <c r="N483" s="2202"/>
    </row>
    <row r="484" spans="13:14">
      <c r="M484" s="2202"/>
      <c r="N484" s="2202"/>
    </row>
    <row r="485" spans="13:14">
      <c r="M485" s="2202"/>
      <c r="N485" s="2202"/>
    </row>
    <row r="486" spans="13:14">
      <c r="M486" s="2202"/>
      <c r="N486" s="2202"/>
    </row>
    <row r="487" spans="13:14">
      <c r="M487" s="2202"/>
      <c r="N487" s="2202"/>
    </row>
    <row r="488" spans="13:14">
      <c r="M488" s="2202"/>
      <c r="N488" s="2202"/>
    </row>
    <row r="489" spans="13:14">
      <c r="M489" s="2202"/>
      <c r="N489" s="2202"/>
    </row>
    <row r="490" spans="13:14">
      <c r="M490" s="2202"/>
      <c r="N490" s="2202"/>
    </row>
    <row r="491" spans="13:14">
      <c r="M491" s="2202"/>
      <c r="N491" s="2202"/>
    </row>
    <row r="492" spans="13:14">
      <c r="M492" s="2202"/>
      <c r="N492" s="2202"/>
    </row>
    <row r="493" spans="13:14">
      <c r="M493" s="2202"/>
      <c r="N493" s="2202"/>
    </row>
    <row r="494" spans="13:14">
      <c r="M494" s="2202"/>
      <c r="N494" s="2202"/>
    </row>
    <row r="495" spans="13:14">
      <c r="M495" s="2202"/>
      <c r="N495" s="2202"/>
    </row>
    <row r="496" spans="13:14">
      <c r="M496" s="2202"/>
      <c r="N496" s="2202"/>
    </row>
    <row r="497" spans="13:14">
      <c r="M497" s="2202"/>
      <c r="N497" s="2202"/>
    </row>
    <row r="498" spans="13:14">
      <c r="M498" s="2202"/>
      <c r="N498" s="2202"/>
    </row>
    <row r="499" spans="13:14">
      <c r="M499" s="2202"/>
      <c r="N499" s="2202"/>
    </row>
    <row r="500" spans="13:14">
      <c r="M500" s="2202"/>
      <c r="N500" s="2202"/>
    </row>
    <row r="501" spans="13:14">
      <c r="M501" s="2202"/>
      <c r="N501" s="2202"/>
    </row>
    <row r="502" spans="13:14">
      <c r="M502" s="2202"/>
      <c r="N502" s="2202"/>
    </row>
  </sheetData>
  <mergeCells count="16">
    <mergeCell ref="I125:J125"/>
    <mergeCell ref="B20:I21"/>
    <mergeCell ref="D23:E24"/>
    <mergeCell ref="I48:J48"/>
    <mergeCell ref="I51:J51"/>
    <mergeCell ref="I122:J122"/>
    <mergeCell ref="D322:J322"/>
    <mergeCell ref="D323:J323"/>
    <mergeCell ref="D321:J321"/>
    <mergeCell ref="D262:J263"/>
    <mergeCell ref="D278:J278"/>
    <mergeCell ref="D289:J289"/>
    <mergeCell ref="D291:J291"/>
    <mergeCell ref="D302:J302"/>
    <mergeCell ref="D308:J308"/>
    <mergeCell ref="D317:J317"/>
  </mergeCells>
  <printOptions horizontalCentered="1"/>
  <pageMargins left="0.25" right="0.25" top="1" bottom="1" header="0.65" footer="0.25"/>
  <pageSetup scale="38"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25" zoomScaleNormal="100" zoomScaleSheetLayoutView="70" zoomScalePageLayoutView="80" workbookViewId="0">
      <selection activeCell="A25" sqref="A1:XFD1048576"/>
    </sheetView>
  </sheetViews>
  <sheetFormatPr defaultColWidth="11.42578125" defaultRowHeight="12.75"/>
  <cols>
    <col min="1" max="1" width="10.28515625" style="1748" customWidth="1"/>
    <col min="2" max="2" width="39.85546875" style="1705" customWidth="1"/>
    <col min="3" max="3" width="21.140625" style="1705" customWidth="1"/>
    <col min="4" max="4" width="19.28515625" style="1705" customWidth="1"/>
    <col min="5" max="5" width="18.85546875" style="1705" customWidth="1"/>
    <col min="6" max="6" width="18" style="1705" customWidth="1"/>
    <col min="7" max="7" width="20.28515625" style="1705" customWidth="1"/>
    <col min="8" max="8" width="17.140625" style="1705" customWidth="1"/>
    <col min="9" max="9" width="16" style="1705" customWidth="1"/>
    <col min="10" max="15" width="20.28515625" style="1705" customWidth="1"/>
    <col min="16" max="16" width="20" style="1705" customWidth="1"/>
    <col min="17" max="18" width="15.140625" style="1705" customWidth="1"/>
    <col min="19" max="16384" width="11.42578125" style="1705"/>
  </cols>
  <sheetData>
    <row r="1" spans="1:16" ht="15">
      <c r="A1" s="1704"/>
    </row>
    <row r="2" spans="1:16" ht="15">
      <c r="A2" s="2554" t="str">
        <f>'SWEPCO TCOS'!F4</f>
        <v xml:space="preserve">AEP West SPP Member Operating Companies </v>
      </c>
      <c r="B2" s="2554"/>
      <c r="C2" s="2554"/>
      <c r="D2" s="2554"/>
      <c r="E2" s="2554"/>
      <c r="F2" s="2554"/>
      <c r="G2" s="2554"/>
      <c r="H2" s="2554"/>
      <c r="I2" s="1706"/>
      <c r="J2" s="1706"/>
      <c r="K2" s="1706"/>
      <c r="L2" s="1707"/>
      <c r="M2" s="1707"/>
    </row>
    <row r="3" spans="1:16" ht="15">
      <c r="A3" s="2554" t="str">
        <f>"Actual / Projected "&amp;'SWEPCO TCOS'!$N$2&amp;" Rate Year Cost of Service Formula Rate "</f>
        <v xml:space="preserve">Actual / Projected 2018 Rate Year Cost of Service Formula Rate </v>
      </c>
      <c r="B3" s="2554"/>
      <c r="C3" s="2554"/>
      <c r="D3" s="2554"/>
      <c r="E3" s="2554"/>
      <c r="F3" s="2554"/>
      <c r="G3" s="2554"/>
      <c r="H3" s="2554"/>
      <c r="I3" s="1706"/>
      <c r="J3" s="1706"/>
      <c r="K3" s="1706"/>
      <c r="L3" s="1707"/>
      <c r="M3" s="1707"/>
      <c r="N3" s="1707"/>
      <c r="P3" s="1708"/>
    </row>
    <row r="4" spans="1:16" ht="15.75">
      <c r="A4" s="2555" t="s">
        <v>1153</v>
      </c>
      <c r="B4" s="2555"/>
      <c r="C4" s="2555"/>
      <c r="D4" s="2555"/>
      <c r="E4" s="2555"/>
      <c r="F4" s="2555"/>
      <c r="G4" s="2555"/>
      <c r="H4" s="2555"/>
      <c r="I4" s="1706"/>
      <c r="J4" s="1706"/>
      <c r="K4" s="1706"/>
      <c r="L4" s="1707"/>
      <c r="M4" s="1707"/>
      <c r="N4" s="1707"/>
    </row>
    <row r="5" spans="1:16" ht="15.75">
      <c r="A5" s="2556" t="str">
        <f>+'SWEPCO TCOS'!$F$8</f>
        <v>SOUTHWESTERN ELECTRIC POWER COMPANY</v>
      </c>
      <c r="B5" s="2556"/>
      <c r="C5" s="2556"/>
      <c r="D5" s="2556"/>
      <c r="E5" s="2556"/>
      <c r="F5" s="2556"/>
      <c r="G5" s="2556"/>
      <c r="H5" s="2556"/>
      <c r="I5" s="1709"/>
      <c r="J5" s="1709"/>
      <c r="K5" s="1709"/>
      <c r="L5" s="1707"/>
      <c r="M5" s="1707"/>
      <c r="N5" s="1707"/>
    </row>
    <row r="6" spans="1:16">
      <c r="A6" s="1707"/>
      <c r="B6" s="1710"/>
      <c r="C6" s="1710"/>
      <c r="D6" s="1710"/>
      <c r="E6" s="1710"/>
      <c r="F6" s="1710"/>
      <c r="G6" s="1710"/>
      <c r="H6" s="1710"/>
      <c r="I6" s="1711"/>
      <c r="J6" s="1712"/>
      <c r="L6" s="1712"/>
      <c r="N6" s="1712"/>
      <c r="P6" s="1712"/>
    </row>
    <row r="7" spans="1:16" ht="12.75" customHeight="1">
      <c r="A7" s="1707"/>
      <c r="B7" s="1710"/>
      <c r="C7" s="2557" t="s">
        <v>1146</v>
      </c>
      <c r="D7" s="2558"/>
      <c r="E7" s="2558"/>
      <c r="F7" s="2558"/>
      <c r="G7" s="2558"/>
      <c r="H7" s="2559"/>
      <c r="I7" s="700"/>
      <c r="J7" s="700"/>
      <c r="K7" s="700"/>
      <c r="L7" s="700"/>
      <c r="M7" s="700"/>
      <c r="N7" s="700"/>
      <c r="O7" s="700"/>
      <c r="P7" s="1713"/>
    </row>
    <row r="8" spans="1:16" s="1719" customFormat="1" ht="25.5">
      <c r="A8" s="1714" t="s">
        <v>1121</v>
      </c>
      <c r="B8" s="1715" t="s">
        <v>1104</v>
      </c>
      <c r="C8" s="1716" t="s">
        <v>1122</v>
      </c>
      <c r="D8" s="1717" t="s">
        <v>1123</v>
      </c>
      <c r="E8" s="1717" t="s">
        <v>257</v>
      </c>
      <c r="F8" s="1717" t="s">
        <v>1124</v>
      </c>
      <c r="G8" s="1717" t="s">
        <v>1125</v>
      </c>
      <c r="H8" s="1718" t="s">
        <v>1126</v>
      </c>
      <c r="I8" s="700"/>
      <c r="J8" s="700"/>
      <c r="K8" s="700"/>
      <c r="L8" s="700"/>
      <c r="M8" s="700"/>
      <c r="N8" s="700"/>
      <c r="O8" s="700"/>
      <c r="P8" s="1713"/>
    </row>
    <row r="9" spans="1:16" s="1724" customFormat="1">
      <c r="A9" s="1720"/>
      <c r="B9" s="1721" t="s">
        <v>1130</v>
      </c>
      <c r="C9" s="1722" t="s">
        <v>1131</v>
      </c>
      <c r="D9" s="1723" t="s">
        <v>1132</v>
      </c>
      <c r="E9" s="1723" t="s">
        <v>1133</v>
      </c>
      <c r="F9" s="1723" t="s">
        <v>1134</v>
      </c>
      <c r="G9" s="1723" t="s">
        <v>1135</v>
      </c>
      <c r="H9" s="1721" t="s">
        <v>1136</v>
      </c>
      <c r="I9" s="700"/>
      <c r="J9" s="700"/>
      <c r="K9" s="700"/>
      <c r="L9" s="700"/>
      <c r="M9" s="700"/>
      <c r="N9" s="700"/>
      <c r="O9" s="700"/>
      <c r="P9" s="1713"/>
    </row>
    <row r="10" spans="1:16" s="1724" customFormat="1" ht="44.25" customHeight="1">
      <c r="A10" s="1720"/>
      <c r="B10" s="1721"/>
      <c r="C10" s="1725" t="s">
        <v>63</v>
      </c>
      <c r="D10" s="1726" t="s">
        <v>68</v>
      </c>
      <c r="E10" s="1726" t="s">
        <v>64</v>
      </c>
      <c r="F10" s="1726" t="s">
        <v>1137</v>
      </c>
      <c r="G10" s="1726" t="s">
        <v>65</v>
      </c>
      <c r="H10" s="1727" t="s">
        <v>66</v>
      </c>
      <c r="I10" s="700"/>
      <c r="J10" s="700"/>
      <c r="K10" s="700"/>
      <c r="L10" s="700"/>
      <c r="M10" s="700"/>
      <c r="N10" s="700"/>
      <c r="O10" s="700"/>
      <c r="P10" s="1713"/>
    </row>
    <row r="11" spans="1:16">
      <c r="A11" s="1720">
        <v>1</v>
      </c>
      <c r="B11" s="1728" t="s">
        <v>1140</v>
      </c>
      <c r="C11" s="963">
        <v>4682947704</v>
      </c>
      <c r="D11" s="964">
        <f>76451906</f>
        <v>76451906</v>
      </c>
      <c r="E11" s="964">
        <v>1679310700</v>
      </c>
      <c r="F11" s="964">
        <v>0</v>
      </c>
      <c r="G11" s="964">
        <v>2096724597</v>
      </c>
      <c r="H11" s="966">
        <v>0</v>
      </c>
      <c r="I11" s="700"/>
      <c r="J11" s="700"/>
      <c r="K11" s="700"/>
      <c r="L11" s="700"/>
      <c r="M11" s="700"/>
      <c r="N11" s="700"/>
      <c r="O11" s="700"/>
      <c r="P11" s="1713"/>
    </row>
    <row r="12" spans="1:16">
      <c r="A12" s="1720">
        <f>+A11+1</f>
        <v>2</v>
      </c>
      <c r="B12" s="1728" t="s">
        <v>324</v>
      </c>
      <c r="C12" s="967"/>
      <c r="D12" s="968"/>
      <c r="E12" s="968"/>
      <c r="F12" s="968"/>
      <c r="G12" s="968"/>
      <c r="H12" s="970"/>
      <c r="I12" s="700"/>
      <c r="J12" s="700"/>
      <c r="K12" s="700"/>
      <c r="L12" s="700"/>
      <c r="M12" s="700"/>
      <c r="N12" s="700"/>
      <c r="O12" s="700"/>
      <c r="P12" s="1713"/>
    </row>
    <row r="13" spans="1:16">
      <c r="A13" s="1720">
        <f t="shared" ref="A13:A24" si="0">+A12+1</f>
        <v>3</v>
      </c>
      <c r="B13" s="1729" t="s">
        <v>517</v>
      </c>
      <c r="C13" s="967"/>
      <c r="D13" s="968"/>
      <c r="E13" s="968"/>
      <c r="F13" s="968"/>
      <c r="G13" s="968"/>
      <c r="H13" s="970"/>
      <c r="I13" s="700"/>
      <c r="J13" s="700"/>
      <c r="K13" s="700"/>
      <c r="L13" s="700"/>
      <c r="M13" s="700"/>
      <c r="N13" s="700"/>
      <c r="O13" s="700"/>
      <c r="P13" s="1713"/>
    </row>
    <row r="14" spans="1:16">
      <c r="A14" s="1720">
        <f t="shared" si="0"/>
        <v>4</v>
      </c>
      <c r="B14" s="1729" t="s">
        <v>1141</v>
      </c>
      <c r="C14" s="967"/>
      <c r="D14" s="968"/>
      <c r="E14" s="968"/>
      <c r="F14" s="968"/>
      <c r="G14" s="968"/>
      <c r="H14" s="970"/>
      <c r="I14" s="700"/>
      <c r="J14" s="700"/>
      <c r="K14" s="700"/>
      <c r="L14" s="700"/>
      <c r="M14" s="700"/>
      <c r="N14" s="700"/>
      <c r="O14" s="700"/>
      <c r="P14" s="1713"/>
    </row>
    <row r="15" spans="1:16">
      <c r="A15" s="1720">
        <f t="shared" si="0"/>
        <v>5</v>
      </c>
      <c r="B15" s="1729" t="s">
        <v>326</v>
      </c>
      <c r="C15" s="967"/>
      <c r="D15" s="968"/>
      <c r="E15" s="968"/>
      <c r="F15" s="968"/>
      <c r="G15" s="968"/>
      <c r="H15" s="970"/>
      <c r="I15" s="700"/>
      <c r="J15" s="700"/>
      <c r="K15" s="700"/>
      <c r="L15" s="700"/>
      <c r="M15" s="700"/>
      <c r="N15" s="700"/>
      <c r="O15" s="700"/>
      <c r="P15" s="1713"/>
    </row>
    <row r="16" spans="1:16">
      <c r="A16" s="1720">
        <f t="shared" si="0"/>
        <v>6</v>
      </c>
      <c r="B16" s="1729" t="s">
        <v>327</v>
      </c>
      <c r="C16" s="967"/>
      <c r="D16" s="968"/>
      <c r="E16" s="968"/>
      <c r="F16" s="968"/>
      <c r="G16" s="968"/>
      <c r="H16" s="970"/>
      <c r="I16" s="700"/>
      <c r="J16" s="700"/>
      <c r="K16" s="700"/>
      <c r="L16" s="700"/>
      <c r="M16" s="700"/>
      <c r="N16" s="700"/>
      <c r="O16" s="700"/>
      <c r="P16" s="1713"/>
    </row>
    <row r="17" spans="1:16">
      <c r="A17" s="1720">
        <f t="shared" si="0"/>
        <v>7</v>
      </c>
      <c r="B17" s="1729" t="s">
        <v>48</v>
      </c>
      <c r="C17" s="967"/>
      <c r="D17" s="968"/>
      <c r="E17" s="968"/>
      <c r="F17" s="968"/>
      <c r="G17" s="968"/>
      <c r="H17" s="970"/>
      <c r="I17" s="700"/>
      <c r="J17" s="700"/>
      <c r="K17" s="700"/>
      <c r="L17" s="700"/>
      <c r="M17" s="700"/>
      <c r="N17" s="700"/>
      <c r="O17" s="700"/>
      <c r="P17" s="1713"/>
    </row>
    <row r="18" spans="1:16">
      <c r="A18" s="1720">
        <f t="shared" si="0"/>
        <v>8</v>
      </c>
      <c r="B18" s="1729" t="s">
        <v>328</v>
      </c>
      <c r="C18" s="967"/>
      <c r="D18" s="968"/>
      <c r="E18" s="968"/>
      <c r="F18" s="968"/>
      <c r="G18" s="968"/>
      <c r="H18" s="970"/>
      <c r="I18" s="700"/>
      <c r="J18" s="700"/>
      <c r="K18" s="700"/>
      <c r="L18" s="700"/>
      <c r="M18" s="700"/>
      <c r="N18" s="700"/>
      <c r="O18" s="700"/>
      <c r="P18" s="1713"/>
    </row>
    <row r="19" spans="1:16">
      <c r="A19" s="1720">
        <f t="shared" si="0"/>
        <v>9</v>
      </c>
      <c r="B19" s="1729" t="s">
        <v>1142</v>
      </c>
      <c r="C19" s="967"/>
      <c r="D19" s="968"/>
      <c r="E19" s="968"/>
      <c r="F19" s="968"/>
      <c r="G19" s="968"/>
      <c r="H19" s="970"/>
      <c r="I19" s="700"/>
      <c r="J19" s="700"/>
      <c r="K19" s="700"/>
      <c r="L19" s="700"/>
      <c r="M19" s="700"/>
      <c r="N19" s="700"/>
      <c r="O19" s="700"/>
      <c r="P19" s="1713"/>
    </row>
    <row r="20" spans="1:16">
      <c r="A20" s="1720">
        <f t="shared" si="0"/>
        <v>10</v>
      </c>
      <c r="B20" s="1729" t="s">
        <v>331</v>
      </c>
      <c r="C20" s="967"/>
      <c r="D20" s="968"/>
      <c r="E20" s="968"/>
      <c r="F20" s="968"/>
      <c r="G20" s="968"/>
      <c r="H20" s="970"/>
      <c r="I20" s="700"/>
      <c r="J20" s="700"/>
      <c r="K20" s="700"/>
      <c r="L20" s="700"/>
      <c r="M20" s="700"/>
      <c r="N20" s="700"/>
      <c r="O20" s="700"/>
      <c r="P20" s="1713"/>
    </row>
    <row r="21" spans="1:16">
      <c r="A21" s="1720">
        <f t="shared" si="0"/>
        <v>11</v>
      </c>
      <c r="B21" s="1729" t="s">
        <v>518</v>
      </c>
      <c r="C21" s="967"/>
      <c r="D21" s="968"/>
      <c r="E21" s="968"/>
      <c r="F21" s="968"/>
      <c r="G21" s="968"/>
      <c r="H21" s="970"/>
      <c r="I21" s="700"/>
      <c r="J21" s="700"/>
      <c r="K21" s="700"/>
      <c r="L21" s="700"/>
      <c r="M21" s="700"/>
      <c r="N21" s="700"/>
      <c r="O21" s="700"/>
      <c r="P21" s="1713"/>
    </row>
    <row r="22" spans="1:16">
      <c r="A22" s="1720">
        <f t="shared" si="0"/>
        <v>12</v>
      </c>
      <c r="B22" s="1729" t="s">
        <v>519</v>
      </c>
      <c r="C22" s="967"/>
      <c r="D22" s="968"/>
      <c r="E22" s="968"/>
      <c r="F22" s="968"/>
      <c r="G22" s="968"/>
      <c r="H22" s="970"/>
      <c r="I22" s="700"/>
      <c r="J22" s="700"/>
      <c r="K22" s="700"/>
      <c r="L22" s="700"/>
      <c r="M22" s="700"/>
      <c r="N22" s="700"/>
      <c r="O22" s="700"/>
      <c r="P22" s="1713"/>
    </row>
    <row r="23" spans="1:16">
      <c r="A23" s="1730">
        <f t="shared" si="0"/>
        <v>13</v>
      </c>
      <c r="B23" s="1731" t="s">
        <v>1143</v>
      </c>
      <c r="C23" s="963">
        <v>4760709713</v>
      </c>
      <c r="D23" s="964">
        <f>115951246</f>
        <v>115951246</v>
      </c>
      <c r="E23" s="964">
        <v>1870409555</v>
      </c>
      <c r="F23" s="964">
        <v>0</v>
      </c>
      <c r="G23" s="964">
        <v>2183913689</v>
      </c>
      <c r="H23" s="966">
        <v>0</v>
      </c>
      <c r="I23" s="700"/>
      <c r="J23" s="700"/>
      <c r="K23" s="700"/>
      <c r="L23" s="700"/>
      <c r="M23" s="700"/>
      <c r="N23" s="700"/>
      <c r="O23" s="700"/>
      <c r="P23" s="1713"/>
    </row>
    <row r="24" spans="1:16" ht="26.25" thickBot="1">
      <c r="A24" s="1732">
        <f t="shared" si="0"/>
        <v>14</v>
      </c>
      <c r="B24" s="975" t="s">
        <v>1387</v>
      </c>
      <c r="C24" s="1733">
        <f>+(C11+C23)/2</f>
        <v>4721828708.5</v>
      </c>
      <c r="D24" s="1734">
        <f t="shared" ref="D24:H24" si="1">+(D11+D23)/2</f>
        <v>96201576</v>
      </c>
      <c r="E24" s="1734">
        <f t="shared" si="1"/>
        <v>1774860127.5</v>
      </c>
      <c r="F24" s="1734">
        <f t="shared" si="1"/>
        <v>0</v>
      </c>
      <c r="G24" s="1734">
        <f t="shared" si="1"/>
        <v>2140319143</v>
      </c>
      <c r="H24" s="1735">
        <f t="shared" si="1"/>
        <v>0</v>
      </c>
      <c r="I24" s="700"/>
      <c r="J24" s="700"/>
      <c r="K24" s="700"/>
      <c r="L24" s="700"/>
      <c r="M24" s="700"/>
      <c r="N24" s="700"/>
      <c r="O24" s="700"/>
      <c r="P24" s="1713"/>
    </row>
    <row r="25" spans="1:16" ht="13.5" thickTop="1">
      <c r="A25" s="1707"/>
      <c r="B25" s="1736"/>
      <c r="C25" s="1737"/>
      <c r="D25" s="1737"/>
      <c r="E25" s="1737"/>
      <c r="F25" s="1004"/>
      <c r="G25" s="1004"/>
      <c r="H25" s="1004"/>
      <c r="I25" s="700"/>
      <c r="J25" s="700"/>
      <c r="K25" s="700"/>
      <c r="L25" s="700"/>
      <c r="M25" s="700"/>
      <c r="N25" s="700"/>
      <c r="O25" s="700"/>
      <c r="P25" s="1713"/>
    </row>
    <row r="26" spans="1:16" ht="14.25" customHeight="1">
      <c r="A26" s="1707"/>
      <c r="B26" s="1736"/>
      <c r="C26" s="1737"/>
      <c r="D26" s="1737"/>
      <c r="E26" s="1737"/>
      <c r="F26" s="1004"/>
      <c r="G26" s="1004"/>
      <c r="H26" s="1004"/>
      <c r="I26" s="700"/>
      <c r="J26" s="700"/>
      <c r="K26" s="700"/>
      <c r="L26" s="700"/>
      <c r="M26" s="700"/>
      <c r="N26" s="700"/>
      <c r="O26" s="700"/>
      <c r="P26" s="1713"/>
    </row>
    <row r="27" spans="1:16" ht="12.75" customHeight="1">
      <c r="A27" s="1707"/>
      <c r="B27" s="1710"/>
      <c r="C27" s="2557" t="s">
        <v>1147</v>
      </c>
      <c r="D27" s="2558"/>
      <c r="E27" s="2558"/>
      <c r="F27" s="2558"/>
      <c r="G27" s="2558"/>
      <c r="H27" s="700"/>
      <c r="I27" s="700"/>
      <c r="J27" s="700"/>
      <c r="K27" s="700"/>
      <c r="L27" s="700"/>
      <c r="M27" s="700"/>
      <c r="N27" s="700"/>
      <c r="O27" s="700"/>
      <c r="P27" s="1713"/>
    </row>
    <row r="28" spans="1:16" s="1719" customFormat="1" ht="25.5">
      <c r="A28" s="1714" t="s">
        <v>1121</v>
      </c>
      <c r="B28" s="1715" t="s">
        <v>1104</v>
      </c>
      <c r="C28" s="1717" t="s">
        <v>1127</v>
      </c>
      <c r="D28" s="1717" t="s">
        <v>1128</v>
      </c>
      <c r="E28" s="1717" t="s">
        <v>1129</v>
      </c>
      <c r="F28" s="1717" t="s">
        <v>1150</v>
      </c>
      <c r="G28" s="1718" t="s">
        <v>1151</v>
      </c>
      <c r="J28" s="700"/>
      <c r="K28" s="700"/>
      <c r="L28" s="700"/>
      <c r="M28" s="700"/>
      <c r="N28" s="700"/>
      <c r="O28" s="700"/>
      <c r="P28" s="1713"/>
    </row>
    <row r="29" spans="1:16" s="1724" customFormat="1">
      <c r="A29" s="1720"/>
      <c r="B29" s="1721" t="s">
        <v>1130</v>
      </c>
      <c r="C29" s="1723" t="s">
        <v>1131</v>
      </c>
      <c r="D29" s="1723" t="s">
        <v>1132</v>
      </c>
      <c r="E29" s="1723" t="s">
        <v>1133</v>
      </c>
      <c r="F29" s="1723" t="s">
        <v>1134</v>
      </c>
      <c r="G29" s="1723" t="s">
        <v>1135</v>
      </c>
      <c r="J29" s="700"/>
      <c r="K29" s="700"/>
      <c r="L29" s="700"/>
      <c r="M29" s="700"/>
      <c r="N29" s="700"/>
      <c r="O29" s="700"/>
      <c r="P29" s="1713"/>
    </row>
    <row r="30" spans="1:16" s="1724" customFormat="1" ht="52.5" customHeight="1">
      <c r="A30" s="1720"/>
      <c r="B30" s="1721"/>
      <c r="C30" s="1738" t="s">
        <v>1138</v>
      </c>
      <c r="D30" s="1726" t="s">
        <v>1139</v>
      </c>
      <c r="E30" s="1726" t="s">
        <v>67</v>
      </c>
      <c r="F30" s="1726" t="s">
        <v>939</v>
      </c>
      <c r="G30" s="1727" t="s">
        <v>939</v>
      </c>
      <c r="J30" s="700"/>
      <c r="K30" s="700"/>
      <c r="L30" s="700"/>
      <c r="M30" s="700"/>
      <c r="N30" s="700"/>
      <c r="O30" s="700"/>
      <c r="P30" s="1713"/>
    </row>
    <row r="31" spans="1:16">
      <c r="A31" s="1720">
        <f>+A24+1</f>
        <v>15</v>
      </c>
      <c r="B31" s="1728" t="s">
        <v>1140</v>
      </c>
      <c r="C31" s="983">
        <v>295167505</v>
      </c>
      <c r="D31" s="964">
        <v>937494</v>
      </c>
      <c r="E31" s="983">
        <v>87217360</v>
      </c>
      <c r="F31" s="964">
        <v>37950730</v>
      </c>
      <c r="G31" s="964">
        <v>50554980.141969733</v>
      </c>
      <c r="J31" s="700"/>
      <c r="K31" s="700"/>
      <c r="L31" s="700"/>
      <c r="M31" s="700"/>
      <c r="N31" s="700"/>
      <c r="O31" s="700"/>
      <c r="P31" s="1713"/>
    </row>
    <row r="32" spans="1:16">
      <c r="A32" s="1720">
        <f>+A31+1</f>
        <v>16</v>
      </c>
      <c r="B32" s="1728" t="s">
        <v>324</v>
      </c>
      <c r="C32" s="968"/>
      <c r="D32" s="968"/>
      <c r="E32" s="968"/>
      <c r="F32" s="968"/>
      <c r="G32" s="970"/>
      <c r="J32" s="700"/>
      <c r="K32" s="700"/>
      <c r="L32" s="700"/>
      <c r="M32" s="700"/>
      <c r="N32" s="700"/>
      <c r="O32" s="700"/>
      <c r="P32" s="1713"/>
    </row>
    <row r="33" spans="1:16">
      <c r="A33" s="1720">
        <f t="shared" ref="A33:A44" si="2">+A32+1</f>
        <v>17</v>
      </c>
      <c r="B33" s="1729" t="s">
        <v>517</v>
      </c>
      <c r="C33" s="968"/>
      <c r="D33" s="968"/>
      <c r="E33" s="968"/>
      <c r="F33" s="968"/>
      <c r="G33" s="970"/>
      <c r="J33" s="700"/>
      <c r="K33" s="700"/>
      <c r="L33" s="700"/>
      <c r="M33" s="700"/>
      <c r="N33" s="700"/>
      <c r="O33" s="700"/>
      <c r="P33" s="1713"/>
    </row>
    <row r="34" spans="1:16">
      <c r="A34" s="1720">
        <f t="shared" si="2"/>
        <v>18</v>
      </c>
      <c r="B34" s="1729" t="s">
        <v>1141</v>
      </c>
      <c r="C34" s="968"/>
      <c r="D34" s="968"/>
      <c r="E34" s="968"/>
      <c r="F34" s="968"/>
      <c r="G34" s="970"/>
      <c r="J34" s="700"/>
      <c r="K34" s="700"/>
      <c r="L34" s="700"/>
      <c r="M34" s="700"/>
      <c r="N34" s="700"/>
      <c r="O34" s="700"/>
      <c r="P34" s="1713"/>
    </row>
    <row r="35" spans="1:16">
      <c r="A35" s="1720">
        <f t="shared" si="2"/>
        <v>19</v>
      </c>
      <c r="B35" s="1729" t="s">
        <v>326</v>
      </c>
      <c r="C35" s="968"/>
      <c r="D35" s="968"/>
      <c r="E35" s="968"/>
      <c r="F35" s="968"/>
      <c r="G35" s="970"/>
      <c r="J35" s="700"/>
      <c r="K35" s="700"/>
      <c r="L35" s="700"/>
      <c r="M35" s="700"/>
      <c r="N35" s="700"/>
      <c r="O35" s="700"/>
      <c r="P35" s="1713"/>
    </row>
    <row r="36" spans="1:16">
      <c r="A36" s="1720">
        <f t="shared" si="2"/>
        <v>20</v>
      </c>
      <c r="B36" s="1729" t="s">
        <v>327</v>
      </c>
      <c r="C36" s="968"/>
      <c r="D36" s="968"/>
      <c r="E36" s="968"/>
      <c r="F36" s="968"/>
      <c r="G36" s="970"/>
      <c r="J36" s="700"/>
      <c r="K36" s="700"/>
      <c r="L36" s="700"/>
      <c r="M36" s="700"/>
      <c r="N36" s="700"/>
      <c r="O36" s="700"/>
      <c r="P36" s="1713"/>
    </row>
    <row r="37" spans="1:16">
      <c r="A37" s="1720">
        <f t="shared" si="2"/>
        <v>21</v>
      </c>
      <c r="B37" s="1729" t="s">
        <v>48</v>
      </c>
      <c r="C37" s="968"/>
      <c r="D37" s="968"/>
      <c r="E37" s="968"/>
      <c r="F37" s="968"/>
      <c r="G37" s="970"/>
      <c r="J37" s="700"/>
      <c r="K37" s="700"/>
      <c r="L37" s="700"/>
      <c r="M37" s="700"/>
      <c r="N37" s="700"/>
      <c r="O37" s="700"/>
      <c r="P37" s="1713"/>
    </row>
    <row r="38" spans="1:16">
      <c r="A38" s="1720">
        <f t="shared" si="2"/>
        <v>22</v>
      </c>
      <c r="B38" s="1729" t="s">
        <v>328</v>
      </c>
      <c r="C38" s="968"/>
      <c r="D38" s="968"/>
      <c r="E38" s="968"/>
      <c r="F38" s="968"/>
      <c r="G38" s="970"/>
      <c r="J38" s="700"/>
      <c r="K38" s="700"/>
      <c r="L38" s="700"/>
      <c r="M38" s="700"/>
      <c r="N38" s="700"/>
      <c r="O38" s="700"/>
      <c r="P38" s="1713"/>
    </row>
    <row r="39" spans="1:16">
      <c r="A39" s="1720">
        <f t="shared" si="2"/>
        <v>23</v>
      </c>
      <c r="B39" s="1729" t="s">
        <v>1142</v>
      </c>
      <c r="C39" s="968"/>
      <c r="D39" s="968"/>
      <c r="E39" s="968"/>
      <c r="F39" s="968"/>
      <c r="G39" s="970"/>
      <c r="J39" s="700"/>
      <c r="K39" s="700"/>
      <c r="L39" s="700"/>
      <c r="M39" s="700"/>
      <c r="N39" s="700"/>
      <c r="O39" s="700"/>
      <c r="P39" s="1713"/>
    </row>
    <row r="40" spans="1:16">
      <c r="A40" s="1720">
        <f t="shared" si="2"/>
        <v>24</v>
      </c>
      <c r="B40" s="1729" t="s">
        <v>331</v>
      </c>
      <c r="C40" s="968"/>
      <c r="D40" s="968"/>
      <c r="E40" s="968"/>
      <c r="F40" s="968"/>
      <c r="G40" s="970"/>
      <c r="J40" s="700"/>
      <c r="K40" s="700"/>
      <c r="L40" s="700"/>
      <c r="M40" s="700"/>
      <c r="N40" s="700"/>
      <c r="O40" s="700"/>
      <c r="P40" s="1713"/>
    </row>
    <row r="41" spans="1:16">
      <c r="A41" s="1720">
        <f t="shared" si="2"/>
        <v>25</v>
      </c>
      <c r="B41" s="1729" t="s">
        <v>518</v>
      </c>
      <c r="C41" s="968"/>
      <c r="D41" s="968"/>
      <c r="E41" s="968"/>
      <c r="F41" s="968"/>
      <c r="G41" s="970"/>
      <c r="J41" s="700"/>
      <c r="K41" s="700"/>
      <c r="L41" s="700"/>
      <c r="M41" s="700"/>
      <c r="N41" s="700"/>
      <c r="O41" s="700"/>
      <c r="P41" s="1713"/>
    </row>
    <row r="42" spans="1:16">
      <c r="A42" s="1720">
        <f t="shared" si="2"/>
        <v>26</v>
      </c>
      <c r="B42" s="1729" t="s">
        <v>519</v>
      </c>
      <c r="C42" s="968"/>
      <c r="D42" s="968"/>
      <c r="E42" s="968"/>
      <c r="F42" s="968"/>
      <c r="G42" s="970"/>
      <c r="J42" s="700"/>
      <c r="K42" s="700"/>
      <c r="L42" s="700"/>
      <c r="M42" s="700"/>
      <c r="N42" s="700"/>
      <c r="O42" s="700"/>
      <c r="P42" s="1713"/>
    </row>
    <row r="43" spans="1:16">
      <c r="A43" s="1730">
        <f t="shared" si="2"/>
        <v>27</v>
      </c>
      <c r="B43" s="1731" t="s">
        <v>1143</v>
      </c>
      <c r="C43" s="964">
        <v>306916216</v>
      </c>
      <c r="D43" s="964">
        <v>1162570</v>
      </c>
      <c r="E43" s="964">
        <v>106438238</v>
      </c>
      <c r="F43" s="964">
        <v>38470989</v>
      </c>
      <c r="G43" s="964">
        <v>51692078.933914334</v>
      </c>
      <c r="J43" s="700"/>
      <c r="K43" s="700"/>
      <c r="L43" s="700"/>
      <c r="M43" s="700"/>
      <c r="N43" s="700"/>
      <c r="O43" s="700"/>
      <c r="P43" s="1713"/>
    </row>
    <row r="44" spans="1:16" ht="26.25" thickBot="1">
      <c r="A44" s="1732">
        <f t="shared" si="2"/>
        <v>28</v>
      </c>
      <c r="B44" s="975" t="s">
        <v>1387</v>
      </c>
      <c r="C44" s="1734">
        <f t="shared" ref="C44" si="3">+(C31+C43)/2</f>
        <v>301041860.5</v>
      </c>
      <c r="D44" s="1734">
        <f t="shared" ref="D44" si="4">+(D31+D43)/2</f>
        <v>1050032</v>
      </c>
      <c r="E44" s="1734">
        <f t="shared" ref="E44" si="5">+(E31+E43)/2</f>
        <v>96827799</v>
      </c>
      <c r="F44" s="1734">
        <f t="shared" ref="F44" si="6">+(F31+F43)/2</f>
        <v>38210859.5</v>
      </c>
      <c r="G44" s="1735">
        <f t="shared" ref="G44" si="7">+(G31+G43)/2</f>
        <v>51123529.537942037</v>
      </c>
      <c r="J44" s="700"/>
      <c r="K44" s="700"/>
      <c r="L44" s="700"/>
      <c r="M44" s="700"/>
      <c r="N44" s="700"/>
      <c r="O44" s="700"/>
      <c r="P44" s="1713"/>
    </row>
    <row r="45" spans="1:16" ht="13.5" thickTop="1">
      <c r="A45" s="1707"/>
      <c r="B45" s="1736"/>
      <c r="C45" s="1737"/>
      <c r="D45" s="1737"/>
      <c r="E45" s="1737"/>
      <c r="F45" s="1004"/>
      <c r="G45" s="1004"/>
      <c r="H45" s="700"/>
      <c r="I45" s="700"/>
      <c r="J45" s="700"/>
      <c r="K45" s="700"/>
      <c r="L45" s="700"/>
      <c r="M45" s="700"/>
      <c r="N45" s="700"/>
      <c r="O45" s="700"/>
      <c r="P45" s="1713"/>
    </row>
    <row r="46" spans="1:16">
      <c r="A46" s="1707"/>
      <c r="C46" s="1737"/>
      <c r="D46" s="1737"/>
      <c r="E46" s="1737"/>
      <c r="F46" s="1004"/>
      <c r="G46" s="1004"/>
      <c r="H46" s="1004"/>
      <c r="I46" s="1004"/>
      <c r="J46" s="1004"/>
      <c r="K46" s="1737"/>
      <c r="L46" s="1737"/>
      <c r="M46" s="1737"/>
      <c r="N46" s="1739"/>
      <c r="O46" s="1739"/>
      <c r="P46" s="1713"/>
    </row>
    <row r="47" spans="1:16">
      <c r="A47" s="1707"/>
      <c r="B47" s="1740" t="s">
        <v>1169</v>
      </c>
      <c r="C47" s="1737"/>
      <c r="D47" s="1737"/>
      <c r="E47" s="1737"/>
      <c r="F47" s="1004"/>
      <c r="G47" s="1004"/>
      <c r="H47" s="1004"/>
      <c r="I47" s="1004"/>
      <c r="J47" s="1004"/>
      <c r="K47" s="1737"/>
      <c r="L47" s="1737"/>
      <c r="M47" s="1737"/>
      <c r="N47" s="1739"/>
      <c r="O47" s="1739"/>
      <c r="P47" s="1713"/>
    </row>
    <row r="48" spans="1:16" ht="25.5">
      <c r="A48" s="1741" t="s">
        <v>1121</v>
      </c>
      <c r="B48" s="1742" t="s">
        <v>1155</v>
      </c>
      <c r="C48" s="2552" t="s">
        <v>1156</v>
      </c>
      <c r="D48" s="2552"/>
      <c r="E48" s="2552"/>
      <c r="F48" s="1743" t="s">
        <v>1157</v>
      </c>
      <c r="G48" s="1743" t="str">
        <f>'SWEPCO TCOS'!N2&amp;" Rate Year Beginning balance"</f>
        <v>2018 Rate Year Beginning balance</v>
      </c>
      <c r="H48" s="1743" t="str">
        <f>'SWEPCO TCOS'!N2&amp;" Rate Year Ending balance"</f>
        <v>2018 Rate Year Ending balance</v>
      </c>
      <c r="I48" s="1717" t="str">
        <f>'SWEPCO TCOS'!N2&amp;" Rate Year Average"</f>
        <v>2018 Rate Year Average</v>
      </c>
      <c r="J48" s="1004"/>
      <c r="K48" s="1737"/>
      <c r="L48" s="1737"/>
      <c r="M48" s="1737"/>
      <c r="N48" s="1739"/>
      <c r="O48" s="1739"/>
      <c r="P48" s="1713"/>
    </row>
    <row r="49" spans="1:16">
      <c r="A49" s="1707"/>
      <c r="B49" s="1723" t="s">
        <v>1130</v>
      </c>
      <c r="C49" s="2553" t="s">
        <v>1131</v>
      </c>
      <c r="D49" s="2553"/>
      <c r="E49" s="2553"/>
      <c r="F49" s="1723" t="s">
        <v>1132</v>
      </c>
      <c r="G49" s="1723" t="s">
        <v>1133</v>
      </c>
      <c r="H49" s="1723" t="s">
        <v>1134</v>
      </c>
      <c r="I49" s="1744" t="s">
        <v>1135</v>
      </c>
      <c r="J49" s="1004"/>
      <c r="K49" s="1737"/>
      <c r="L49" s="1737"/>
      <c r="M49" s="1737"/>
      <c r="N49" s="1739"/>
      <c r="O49" s="1739"/>
      <c r="P49" s="1713"/>
    </row>
    <row r="50" spans="1:16">
      <c r="A50" s="1745" t="str">
        <f>+A$44+1&amp;"A"</f>
        <v>29A</v>
      </c>
      <c r="B50" s="964" t="s">
        <v>1512</v>
      </c>
      <c r="C50" s="964"/>
      <c r="D50" s="964"/>
      <c r="E50" s="964"/>
      <c r="F50" s="991"/>
      <c r="G50" s="964">
        <v>1271700</v>
      </c>
      <c r="H50" s="964">
        <v>1291835</v>
      </c>
      <c r="I50" s="964">
        <v>1281768</v>
      </c>
    </row>
    <row r="51" spans="1:16">
      <c r="A51" s="1745" t="str">
        <f>+A$44+1&amp;"B"</f>
        <v>29B</v>
      </c>
      <c r="B51" s="964" t="s">
        <v>1513</v>
      </c>
      <c r="C51" s="964"/>
      <c r="D51" s="964"/>
      <c r="E51" s="964"/>
      <c r="F51" s="991"/>
      <c r="G51" s="964" t="s">
        <v>1514</v>
      </c>
      <c r="H51" s="964" t="s">
        <v>1514</v>
      </c>
      <c r="I51" s="964">
        <v>0</v>
      </c>
    </row>
    <row r="52" spans="1:16">
      <c r="A52" s="1745" t="str">
        <f>+A$44+1&amp;"C"</f>
        <v>29C</v>
      </c>
      <c r="B52" s="964"/>
      <c r="C52" s="964"/>
      <c r="D52" s="964"/>
      <c r="E52" s="964"/>
      <c r="F52" s="964"/>
      <c r="G52" s="964"/>
      <c r="H52" s="964"/>
      <c r="I52" s="964"/>
    </row>
    <row r="53" spans="1:16" ht="13.5" thickBot="1">
      <c r="A53" s="1745">
        <f>+A44+2</f>
        <v>30</v>
      </c>
      <c r="B53" s="1746" t="s">
        <v>1160</v>
      </c>
      <c r="C53" s="1746"/>
      <c r="D53" s="1746"/>
      <c r="E53" s="1746"/>
      <c r="F53" s="1746"/>
      <c r="G53" s="1747">
        <f>+SUM(G50:G52)</f>
        <v>1271700</v>
      </c>
      <c r="H53" s="1747">
        <f>+SUM(H50:H52)</f>
        <v>1291835</v>
      </c>
      <c r="I53" s="1747">
        <f>+SUM(I50:I52)</f>
        <v>1281768</v>
      </c>
    </row>
    <row r="54" spans="1:16" ht="13.5" thickTop="1"/>
    <row r="55" spans="1:16">
      <c r="A55" s="1749" t="s">
        <v>1168</v>
      </c>
    </row>
    <row r="56" spans="1:16">
      <c r="A56" s="1745" t="s">
        <v>303</v>
      </c>
      <c r="B56" s="1705" t="s">
        <v>1171</v>
      </c>
    </row>
    <row r="57" spans="1:16">
      <c r="A57" s="1707" t="s">
        <v>304</v>
      </c>
      <c r="B57" s="1750" t="s">
        <v>1170</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25" zoomScaleNormal="100" zoomScaleSheetLayoutView="70" zoomScalePageLayoutView="80" workbookViewId="0">
      <selection activeCell="A25" sqref="A1:XFD1048576"/>
    </sheetView>
  </sheetViews>
  <sheetFormatPr defaultColWidth="11.42578125" defaultRowHeight="12.75"/>
  <cols>
    <col min="1" max="1" width="10.28515625" style="1748" customWidth="1"/>
    <col min="2" max="2" width="39.85546875" style="1705" customWidth="1"/>
    <col min="3" max="3" width="21.140625" style="1705" customWidth="1"/>
    <col min="4" max="4" width="19.28515625" style="1705" customWidth="1"/>
    <col min="5" max="5" width="18.85546875" style="1705" customWidth="1"/>
    <col min="6" max="6" width="18" style="1705" customWidth="1"/>
    <col min="7" max="7" width="16.5703125" style="1705" customWidth="1"/>
    <col min="8" max="8" width="17.140625" style="1705" customWidth="1"/>
    <col min="9" max="9" width="15.28515625" style="1705" customWidth="1"/>
    <col min="10" max="15" width="20.28515625" style="1705" customWidth="1"/>
    <col min="16" max="16" width="20" style="1705" customWidth="1"/>
    <col min="17" max="18" width="15.140625" style="1705" customWidth="1"/>
    <col min="19" max="16384" width="11.42578125" style="1705"/>
  </cols>
  <sheetData>
    <row r="1" spans="1:16" ht="15">
      <c r="A1" s="1704"/>
    </row>
    <row r="2" spans="1:16" ht="15">
      <c r="A2" s="2554" t="str">
        <f>'SWEPCO TCOS'!F4</f>
        <v xml:space="preserve">AEP West SPP Member Operating Companies </v>
      </c>
      <c r="B2" s="2554"/>
      <c r="C2" s="2554"/>
      <c r="D2" s="2554"/>
      <c r="E2" s="2554"/>
      <c r="F2" s="2554"/>
      <c r="G2" s="2554"/>
      <c r="H2" s="2554"/>
      <c r="I2" s="1706"/>
      <c r="J2" s="1706"/>
      <c r="K2" s="1706"/>
      <c r="L2" s="1707"/>
      <c r="M2" s="1707"/>
    </row>
    <row r="3" spans="1:16" ht="15">
      <c r="A3" s="2554" t="str">
        <f>"Actual / Projected "&amp;'SWEPCO TCOS'!$N$2&amp;" Rate Year Cost of Service Formula Rate "</f>
        <v xml:space="preserve">Actual / Projected 2018 Rate Year Cost of Service Formula Rate </v>
      </c>
      <c r="B3" s="2554"/>
      <c r="C3" s="2554"/>
      <c r="D3" s="2554"/>
      <c r="E3" s="2554"/>
      <c r="F3" s="2554"/>
      <c r="G3" s="2554"/>
      <c r="H3" s="2554"/>
      <c r="I3" s="1706"/>
      <c r="J3" s="1706"/>
      <c r="K3" s="1706"/>
      <c r="L3" s="1707"/>
      <c r="M3" s="1707"/>
      <c r="N3" s="1707"/>
      <c r="P3" s="1708"/>
    </row>
    <row r="4" spans="1:16" ht="15.75">
      <c r="A4" s="2555" t="s">
        <v>1152</v>
      </c>
      <c r="B4" s="2555"/>
      <c r="C4" s="2555"/>
      <c r="D4" s="2555"/>
      <c r="E4" s="2555"/>
      <c r="F4" s="2555"/>
      <c r="G4" s="2555"/>
      <c r="H4" s="2555"/>
      <c r="I4" s="1706"/>
      <c r="J4" s="1706"/>
      <c r="K4" s="1706"/>
      <c r="L4" s="1707"/>
      <c r="M4" s="1707"/>
      <c r="N4" s="1707"/>
    </row>
    <row r="5" spans="1:16" ht="15.75">
      <c r="A5" s="2556" t="str">
        <f>+'SWEPCO TCOS'!$F$8</f>
        <v>SOUTHWESTERN ELECTRIC POWER COMPANY</v>
      </c>
      <c r="B5" s="2556"/>
      <c r="C5" s="2556"/>
      <c r="D5" s="2556"/>
      <c r="E5" s="2556"/>
      <c r="F5" s="2556"/>
      <c r="G5" s="2556"/>
      <c r="H5" s="2556"/>
      <c r="I5" s="1709"/>
      <c r="J5" s="1709"/>
      <c r="K5" s="1709"/>
      <c r="L5" s="1707"/>
      <c r="M5" s="1707"/>
      <c r="N5" s="1707"/>
    </row>
    <row r="6" spans="1:16">
      <c r="A6" s="1707"/>
      <c r="B6" s="1710"/>
      <c r="C6" s="1710"/>
      <c r="D6" s="1710"/>
      <c r="E6" s="1710"/>
      <c r="F6" s="1710"/>
      <c r="G6" s="1710"/>
      <c r="H6" s="1710"/>
      <c r="I6" s="1711"/>
      <c r="J6" s="1712"/>
      <c r="L6" s="1712"/>
      <c r="N6" s="1712"/>
      <c r="P6" s="1712"/>
    </row>
    <row r="7" spans="1:16" ht="12.75" customHeight="1">
      <c r="A7" s="1707"/>
      <c r="B7" s="1710"/>
      <c r="C7" s="2557" t="s">
        <v>1149</v>
      </c>
      <c r="D7" s="2558"/>
      <c r="E7" s="2558"/>
      <c r="F7" s="2558"/>
      <c r="G7" s="2558"/>
      <c r="H7" s="2559"/>
      <c r="I7" s="700"/>
      <c r="J7" s="700"/>
      <c r="K7" s="700"/>
      <c r="L7" s="700"/>
      <c r="M7" s="700"/>
      <c r="N7" s="700"/>
      <c r="O7" s="700"/>
      <c r="P7" s="1713"/>
    </row>
    <row r="8" spans="1:16" s="1719" customFormat="1" ht="56.25" customHeight="1">
      <c r="A8" s="1714" t="s">
        <v>1121</v>
      </c>
      <c r="B8" s="1715" t="s">
        <v>1104</v>
      </c>
      <c r="C8" s="1717" t="s">
        <v>1122</v>
      </c>
      <c r="D8" s="1717" t="s">
        <v>1123</v>
      </c>
      <c r="E8" s="1717" t="s">
        <v>257</v>
      </c>
      <c r="F8" s="1717" t="s">
        <v>1124</v>
      </c>
      <c r="G8" s="1717" t="s">
        <v>1125</v>
      </c>
      <c r="H8" s="1717" t="s">
        <v>1126</v>
      </c>
      <c r="I8" s="700"/>
      <c r="J8" s="700"/>
      <c r="K8" s="700"/>
      <c r="L8" s="700"/>
      <c r="M8" s="700"/>
      <c r="N8" s="700"/>
      <c r="O8" s="700"/>
      <c r="P8" s="1713"/>
    </row>
    <row r="9" spans="1:16" s="1724" customFormat="1">
      <c r="A9" s="1720"/>
      <c r="B9" s="1721" t="s">
        <v>1130</v>
      </c>
      <c r="C9" s="1723" t="s">
        <v>1131</v>
      </c>
      <c r="D9" s="1723" t="s">
        <v>1132</v>
      </c>
      <c r="E9" s="1723" t="s">
        <v>1133</v>
      </c>
      <c r="F9" s="1723" t="s">
        <v>1134</v>
      </c>
      <c r="G9" s="1723" t="s">
        <v>1135</v>
      </c>
      <c r="H9" s="1723" t="s">
        <v>1136</v>
      </c>
      <c r="I9" s="700"/>
      <c r="J9" s="700"/>
      <c r="K9" s="700"/>
      <c r="L9" s="700"/>
      <c r="M9" s="700"/>
      <c r="N9" s="700"/>
      <c r="O9" s="700"/>
      <c r="P9" s="1713"/>
    </row>
    <row r="10" spans="1:16" s="1724" customFormat="1" ht="44.25" customHeight="1">
      <c r="A10" s="1720"/>
      <c r="B10" s="1721"/>
      <c r="C10" s="1726" t="s">
        <v>21</v>
      </c>
      <c r="D10" s="1726" t="s">
        <v>1144</v>
      </c>
      <c r="E10" s="1726" t="s">
        <v>22</v>
      </c>
      <c r="F10" s="1726" t="s">
        <v>1144</v>
      </c>
      <c r="G10" s="1726" t="s">
        <v>183</v>
      </c>
      <c r="H10" s="1726" t="s">
        <v>1144</v>
      </c>
      <c r="I10" s="700"/>
      <c r="J10" s="700"/>
      <c r="K10" s="700"/>
      <c r="L10" s="700"/>
      <c r="M10" s="700"/>
      <c r="N10" s="700"/>
      <c r="O10" s="700"/>
      <c r="P10" s="1713"/>
    </row>
    <row r="11" spans="1:16">
      <c r="A11" s="1720">
        <v>1</v>
      </c>
      <c r="B11" s="1728" t="s">
        <v>1140</v>
      </c>
      <c r="C11" s="964">
        <f>1405600262+30817359</f>
        <v>1436417621</v>
      </c>
      <c r="D11" s="964">
        <v>9168056</v>
      </c>
      <c r="E11" s="964">
        <v>501945391</v>
      </c>
      <c r="F11" s="964">
        <v>0</v>
      </c>
      <c r="G11" s="964">
        <v>717641345</v>
      </c>
      <c r="H11" s="964">
        <v>0</v>
      </c>
      <c r="I11" s="700"/>
      <c r="J11" s="700"/>
      <c r="K11" s="700"/>
      <c r="L11" s="700"/>
      <c r="M11" s="700"/>
      <c r="N11" s="700"/>
      <c r="O11" s="700"/>
      <c r="P11" s="1713"/>
    </row>
    <row r="12" spans="1:16">
      <c r="A12" s="1720">
        <f>+A11+1</f>
        <v>2</v>
      </c>
      <c r="B12" s="1728" t="s">
        <v>324</v>
      </c>
      <c r="C12" s="968"/>
      <c r="D12" s="968"/>
      <c r="E12" s="968"/>
      <c r="F12" s="968"/>
      <c r="G12" s="968"/>
      <c r="H12" s="968"/>
      <c r="I12" s="700"/>
      <c r="J12" s="700"/>
      <c r="K12" s="700"/>
      <c r="L12" s="700"/>
      <c r="M12" s="700"/>
      <c r="N12" s="700"/>
      <c r="O12" s="700"/>
      <c r="P12" s="1713"/>
    </row>
    <row r="13" spans="1:16">
      <c r="A13" s="1720">
        <f t="shared" ref="A13:A24" si="0">+A12+1</f>
        <v>3</v>
      </c>
      <c r="B13" s="1729" t="s">
        <v>517</v>
      </c>
      <c r="C13" s="968"/>
      <c r="D13" s="968"/>
      <c r="E13" s="968"/>
      <c r="F13" s="968"/>
      <c r="G13" s="968"/>
      <c r="H13" s="968"/>
      <c r="I13" s="700"/>
      <c r="J13" s="700"/>
      <c r="K13" s="700"/>
      <c r="L13" s="700"/>
      <c r="M13" s="700"/>
      <c r="N13" s="700"/>
      <c r="O13" s="700"/>
      <c r="P13" s="1713"/>
    </row>
    <row r="14" spans="1:16">
      <c r="A14" s="1720">
        <f t="shared" si="0"/>
        <v>4</v>
      </c>
      <c r="B14" s="1729" t="s">
        <v>1141</v>
      </c>
      <c r="C14" s="968"/>
      <c r="D14" s="968"/>
      <c r="E14" s="968"/>
      <c r="F14" s="968"/>
      <c r="G14" s="968"/>
      <c r="H14" s="968"/>
      <c r="I14" s="700"/>
      <c r="J14" s="700"/>
      <c r="K14" s="700"/>
      <c r="L14" s="700"/>
      <c r="M14" s="700"/>
      <c r="N14" s="700"/>
      <c r="O14" s="700"/>
      <c r="P14" s="1713"/>
    </row>
    <row r="15" spans="1:16">
      <c r="A15" s="1720">
        <f t="shared" si="0"/>
        <v>5</v>
      </c>
      <c r="B15" s="1729" t="s">
        <v>326</v>
      </c>
      <c r="C15" s="968"/>
      <c r="D15" s="968"/>
      <c r="E15" s="968"/>
      <c r="F15" s="968"/>
      <c r="G15" s="968"/>
      <c r="H15" s="968"/>
      <c r="I15" s="700"/>
      <c r="J15" s="700"/>
      <c r="K15" s="700"/>
      <c r="L15" s="700"/>
      <c r="M15" s="700"/>
      <c r="N15" s="700"/>
      <c r="O15" s="700"/>
      <c r="P15" s="1713"/>
    </row>
    <row r="16" spans="1:16">
      <c r="A16" s="1720">
        <f t="shared" si="0"/>
        <v>6</v>
      </c>
      <c r="B16" s="1729" t="s">
        <v>327</v>
      </c>
      <c r="C16" s="968"/>
      <c r="D16" s="968"/>
      <c r="E16" s="968"/>
      <c r="F16" s="968"/>
      <c r="G16" s="968"/>
      <c r="H16" s="968"/>
      <c r="I16" s="700"/>
      <c r="J16" s="700"/>
      <c r="K16" s="700"/>
      <c r="L16" s="700"/>
      <c r="M16" s="700"/>
      <c r="N16" s="700"/>
      <c r="O16" s="700"/>
      <c r="P16" s="1713"/>
    </row>
    <row r="17" spans="1:16">
      <c r="A17" s="1720">
        <f t="shared" si="0"/>
        <v>7</v>
      </c>
      <c r="B17" s="1729" t="s">
        <v>48</v>
      </c>
      <c r="C17" s="968"/>
      <c r="D17" s="968"/>
      <c r="E17" s="968"/>
      <c r="F17" s="968"/>
      <c r="G17" s="968"/>
      <c r="H17" s="968"/>
      <c r="I17" s="700"/>
      <c r="J17" s="700"/>
      <c r="K17" s="700"/>
      <c r="L17" s="700"/>
      <c r="M17" s="700"/>
      <c r="N17" s="700"/>
      <c r="O17" s="700"/>
      <c r="P17" s="1713"/>
    </row>
    <row r="18" spans="1:16">
      <c r="A18" s="1720">
        <f t="shared" si="0"/>
        <v>8</v>
      </c>
      <c r="B18" s="1729" t="s">
        <v>328</v>
      </c>
      <c r="C18" s="968"/>
      <c r="D18" s="968"/>
      <c r="E18" s="968"/>
      <c r="F18" s="968"/>
      <c r="G18" s="968"/>
      <c r="H18" s="968"/>
      <c r="I18" s="700"/>
      <c r="J18" s="700"/>
      <c r="K18" s="700"/>
      <c r="L18" s="700"/>
      <c r="M18" s="700"/>
      <c r="N18" s="700"/>
      <c r="O18" s="700"/>
      <c r="P18" s="1713"/>
    </row>
    <row r="19" spans="1:16">
      <c r="A19" s="1720">
        <f t="shared" si="0"/>
        <v>9</v>
      </c>
      <c r="B19" s="1729" t="s">
        <v>1142</v>
      </c>
      <c r="C19" s="968"/>
      <c r="D19" s="968"/>
      <c r="E19" s="968"/>
      <c r="F19" s="968"/>
      <c r="G19" s="968"/>
      <c r="H19" s="968"/>
      <c r="I19" s="700"/>
      <c r="J19" s="700"/>
      <c r="K19" s="700"/>
      <c r="L19" s="700"/>
      <c r="M19" s="700"/>
      <c r="N19" s="700"/>
      <c r="O19" s="700"/>
      <c r="P19" s="1713"/>
    </row>
    <row r="20" spans="1:16">
      <c r="A20" s="1720">
        <f t="shared" si="0"/>
        <v>10</v>
      </c>
      <c r="B20" s="1729" t="s">
        <v>331</v>
      </c>
      <c r="C20" s="968"/>
      <c r="D20" s="968"/>
      <c r="E20" s="968"/>
      <c r="F20" s="968"/>
      <c r="G20" s="968"/>
      <c r="H20" s="968"/>
      <c r="I20" s="700"/>
      <c r="J20" s="700"/>
      <c r="K20" s="700"/>
      <c r="L20" s="700"/>
      <c r="M20" s="700"/>
      <c r="N20" s="700"/>
      <c r="O20" s="700"/>
      <c r="P20" s="1713"/>
    </row>
    <row r="21" spans="1:16">
      <c r="A21" s="1720">
        <f t="shared" si="0"/>
        <v>11</v>
      </c>
      <c r="B21" s="1729" t="s">
        <v>518</v>
      </c>
      <c r="C21" s="968"/>
      <c r="D21" s="968"/>
      <c r="E21" s="968"/>
      <c r="F21" s="968"/>
      <c r="G21" s="968"/>
      <c r="H21" s="968"/>
      <c r="I21" s="700"/>
      <c r="J21" s="700"/>
      <c r="K21" s="700"/>
      <c r="L21" s="700"/>
      <c r="M21" s="700"/>
      <c r="N21" s="700"/>
      <c r="O21" s="700"/>
      <c r="P21" s="1713"/>
    </row>
    <row r="22" spans="1:16">
      <c r="A22" s="1720">
        <f t="shared" si="0"/>
        <v>12</v>
      </c>
      <c r="B22" s="1729" t="s">
        <v>519</v>
      </c>
      <c r="C22" s="968"/>
      <c r="D22" s="968"/>
      <c r="E22" s="968"/>
      <c r="F22" s="968"/>
      <c r="G22" s="968"/>
      <c r="H22" s="968"/>
      <c r="I22" s="700"/>
      <c r="J22" s="700"/>
      <c r="K22" s="700"/>
      <c r="L22" s="700"/>
      <c r="M22" s="700"/>
      <c r="N22" s="700"/>
      <c r="O22" s="700"/>
      <c r="P22" s="1713"/>
    </row>
    <row r="23" spans="1:16">
      <c r="A23" s="1730">
        <f t="shared" si="0"/>
        <v>13</v>
      </c>
      <c r="B23" s="1751" t="s">
        <v>1143</v>
      </c>
      <c r="C23" s="964">
        <f>1470119107+33831734</f>
        <v>1503950841</v>
      </c>
      <c r="D23" s="964">
        <v>11279443</v>
      </c>
      <c r="E23" s="964">
        <v>524323474</v>
      </c>
      <c r="F23" s="964">
        <v>0</v>
      </c>
      <c r="G23" s="964">
        <v>741994209</v>
      </c>
      <c r="H23" s="964">
        <v>0</v>
      </c>
      <c r="I23" s="700"/>
      <c r="J23" s="700"/>
      <c r="K23" s="700"/>
      <c r="L23" s="700"/>
      <c r="M23" s="700"/>
      <c r="N23" s="700"/>
      <c r="O23" s="700"/>
      <c r="P23" s="1713"/>
    </row>
    <row r="24" spans="1:16" ht="26.25" thickBot="1">
      <c r="A24" s="1732">
        <f t="shared" si="0"/>
        <v>14</v>
      </c>
      <c r="B24" s="975" t="s">
        <v>1387</v>
      </c>
      <c r="C24" s="1734">
        <f>+(C11+C23)/2</f>
        <v>1470184231</v>
      </c>
      <c r="D24" s="1734">
        <f t="shared" ref="D24:H24" si="1">+(D11+D23)/2</f>
        <v>10223749.5</v>
      </c>
      <c r="E24" s="1734">
        <f t="shared" si="1"/>
        <v>513134432.5</v>
      </c>
      <c r="F24" s="1734">
        <f t="shared" si="1"/>
        <v>0</v>
      </c>
      <c r="G24" s="1734">
        <f t="shared" si="1"/>
        <v>729817777</v>
      </c>
      <c r="H24" s="1734">
        <f t="shared" si="1"/>
        <v>0</v>
      </c>
      <c r="I24" s="700"/>
      <c r="J24" s="700"/>
      <c r="K24" s="700"/>
      <c r="L24" s="700"/>
      <c r="M24" s="700"/>
      <c r="N24" s="700"/>
      <c r="O24" s="700"/>
      <c r="P24" s="1713"/>
    </row>
    <row r="25" spans="1:16" ht="13.5" thickTop="1">
      <c r="A25" s="1707"/>
      <c r="B25" s="1736"/>
      <c r="C25" s="1737"/>
      <c r="D25" s="1737"/>
      <c r="E25" s="1737"/>
      <c r="F25" s="1004"/>
      <c r="G25" s="1004"/>
      <c r="H25" s="1004"/>
      <c r="I25" s="700"/>
      <c r="J25" s="700"/>
      <c r="K25" s="700"/>
      <c r="L25" s="700"/>
      <c r="M25" s="700"/>
      <c r="N25" s="700"/>
      <c r="O25" s="700"/>
      <c r="P25" s="1713"/>
    </row>
    <row r="26" spans="1:16" ht="14.25" customHeight="1">
      <c r="A26" s="1707"/>
      <c r="B26" s="1736"/>
      <c r="C26" s="1737"/>
      <c r="D26" s="1737"/>
      <c r="E26" s="1737"/>
      <c r="F26" s="1004"/>
      <c r="G26" s="1004"/>
      <c r="H26" s="1004"/>
      <c r="I26" s="700"/>
      <c r="J26" s="700"/>
      <c r="K26" s="700"/>
      <c r="L26" s="700"/>
      <c r="M26" s="700"/>
      <c r="N26" s="700"/>
      <c r="O26" s="700"/>
      <c r="P26" s="1713"/>
    </row>
    <row r="27" spans="1:16" ht="12.75" customHeight="1">
      <c r="A27" s="1707"/>
      <c r="B27" s="1710"/>
      <c r="C27" s="2557" t="s">
        <v>1148</v>
      </c>
      <c r="D27" s="2558"/>
      <c r="E27" s="2558"/>
      <c r="F27" s="2558"/>
      <c r="G27" s="2559"/>
      <c r="H27" s="1752"/>
      <c r="I27" s="1752"/>
      <c r="J27" s="700"/>
      <c r="K27" s="700"/>
      <c r="L27" s="700"/>
      <c r="M27" s="700"/>
      <c r="N27" s="700"/>
      <c r="O27" s="700"/>
      <c r="P27" s="1713"/>
    </row>
    <row r="28" spans="1:16" s="1719" customFormat="1" ht="29.25" customHeight="1">
      <c r="A28" s="1714" t="s">
        <v>1121</v>
      </c>
      <c r="B28" s="1715" t="s">
        <v>1104</v>
      </c>
      <c r="C28" s="1717" t="s">
        <v>1127</v>
      </c>
      <c r="D28" s="1717" t="s">
        <v>1128</v>
      </c>
      <c r="E28" s="1717" t="s">
        <v>1129</v>
      </c>
      <c r="F28" s="1717" t="s">
        <v>1150</v>
      </c>
      <c r="G28" s="1718" t="s">
        <v>1151</v>
      </c>
      <c r="J28" s="700"/>
      <c r="K28" s="700"/>
      <c r="L28" s="700"/>
      <c r="M28" s="700"/>
      <c r="N28" s="700"/>
      <c r="O28" s="700"/>
      <c r="P28" s="1713"/>
    </row>
    <row r="29" spans="1:16" s="1724" customFormat="1">
      <c r="A29" s="1720"/>
      <c r="B29" s="1721" t="s">
        <v>1130</v>
      </c>
      <c r="C29" s="1723" t="s">
        <v>1131</v>
      </c>
      <c r="D29" s="1723" t="s">
        <v>1132</v>
      </c>
      <c r="E29" s="1723" t="s">
        <v>1133</v>
      </c>
      <c r="F29" s="1723" t="s">
        <v>1134</v>
      </c>
      <c r="G29" s="1723" t="s">
        <v>1135</v>
      </c>
      <c r="J29" s="700"/>
      <c r="K29" s="700"/>
      <c r="L29" s="700"/>
      <c r="M29" s="700"/>
      <c r="N29" s="700"/>
      <c r="O29" s="700"/>
      <c r="P29" s="1713"/>
    </row>
    <row r="30" spans="1:16" s="1724" customFormat="1" ht="52.5" customHeight="1">
      <c r="A30" s="1720"/>
      <c r="B30" s="1721"/>
      <c r="C30" s="1726" t="s">
        <v>133</v>
      </c>
      <c r="D30" s="1726" t="s">
        <v>1145</v>
      </c>
      <c r="E30" s="1726" t="s">
        <v>184</v>
      </c>
      <c r="F30" s="1726" t="s">
        <v>939</v>
      </c>
      <c r="G30" s="1727" t="s">
        <v>939</v>
      </c>
      <c r="J30" s="700"/>
      <c r="K30" s="700"/>
      <c r="L30" s="700"/>
      <c r="M30" s="700"/>
      <c r="N30" s="700"/>
      <c r="O30" s="700"/>
      <c r="P30" s="1713"/>
    </row>
    <row r="31" spans="1:16">
      <c r="A31" s="1720">
        <f>+A24+1</f>
        <v>15</v>
      </c>
      <c r="B31" s="1728" t="s">
        <v>1140</v>
      </c>
      <c r="C31" s="983">
        <v>165831618</v>
      </c>
      <c r="D31" s="964">
        <v>546719</v>
      </c>
      <c r="E31" s="964">
        <v>42327849</v>
      </c>
      <c r="F31" s="964">
        <v>18041437</v>
      </c>
      <c r="G31" s="966">
        <v>20655795.707956627</v>
      </c>
      <c r="J31" s="700"/>
      <c r="K31" s="700"/>
      <c r="L31" s="700"/>
      <c r="M31" s="700"/>
      <c r="N31" s="700"/>
      <c r="O31" s="700"/>
      <c r="P31" s="1713"/>
    </row>
    <row r="32" spans="1:16">
      <c r="A32" s="1720">
        <f>+A31+1</f>
        <v>16</v>
      </c>
      <c r="B32" s="1728" t="s">
        <v>324</v>
      </c>
      <c r="C32" s="968"/>
      <c r="D32" s="968"/>
      <c r="E32" s="968"/>
      <c r="F32" s="968"/>
      <c r="G32" s="970"/>
      <c r="J32" s="700"/>
      <c r="K32" s="700"/>
      <c r="L32" s="700"/>
      <c r="M32" s="700"/>
      <c r="N32" s="700"/>
      <c r="O32" s="700"/>
      <c r="P32" s="1713"/>
    </row>
    <row r="33" spans="1:16">
      <c r="A33" s="1720">
        <f t="shared" ref="A33:A44" si="2">+A32+1</f>
        <v>17</v>
      </c>
      <c r="B33" s="1729" t="s">
        <v>517</v>
      </c>
      <c r="C33" s="968"/>
      <c r="D33" s="968"/>
      <c r="E33" s="968"/>
      <c r="F33" s="968"/>
      <c r="G33" s="970"/>
      <c r="J33" s="700"/>
      <c r="K33" s="700"/>
      <c r="L33" s="700"/>
      <c r="M33" s="700"/>
      <c r="N33" s="700"/>
      <c r="O33" s="700"/>
      <c r="P33" s="1713"/>
    </row>
    <row r="34" spans="1:16">
      <c r="A34" s="1720">
        <f t="shared" si="2"/>
        <v>18</v>
      </c>
      <c r="B34" s="1729" t="s">
        <v>1141</v>
      </c>
      <c r="C34" s="968"/>
      <c r="D34" s="968"/>
      <c r="E34" s="968"/>
      <c r="F34" s="968"/>
      <c r="G34" s="970"/>
      <c r="J34" s="700"/>
      <c r="K34" s="700"/>
      <c r="L34" s="700"/>
      <c r="M34" s="700"/>
      <c r="N34" s="700"/>
      <c r="O34" s="700"/>
      <c r="P34" s="1713"/>
    </row>
    <row r="35" spans="1:16">
      <c r="A35" s="1720">
        <f t="shared" si="2"/>
        <v>19</v>
      </c>
      <c r="B35" s="1729" t="s">
        <v>326</v>
      </c>
      <c r="C35" s="968"/>
      <c r="D35" s="968"/>
      <c r="E35" s="968"/>
      <c r="F35" s="968"/>
      <c r="G35" s="970"/>
      <c r="J35" s="700"/>
      <c r="K35" s="700"/>
      <c r="L35" s="700"/>
      <c r="M35" s="700"/>
      <c r="N35" s="700"/>
      <c r="O35" s="700"/>
      <c r="P35" s="1713"/>
    </row>
    <row r="36" spans="1:16">
      <c r="A36" s="1720">
        <f t="shared" si="2"/>
        <v>20</v>
      </c>
      <c r="B36" s="1729" t="s">
        <v>327</v>
      </c>
      <c r="C36" s="968"/>
      <c r="D36" s="968"/>
      <c r="E36" s="968"/>
      <c r="F36" s="968"/>
      <c r="G36" s="970"/>
      <c r="J36" s="700"/>
      <c r="K36" s="700"/>
      <c r="L36" s="700"/>
      <c r="M36" s="700"/>
      <c r="N36" s="700"/>
      <c r="O36" s="700"/>
      <c r="P36" s="1713"/>
    </row>
    <row r="37" spans="1:16">
      <c r="A37" s="1720">
        <f t="shared" si="2"/>
        <v>21</v>
      </c>
      <c r="B37" s="1729" t="s">
        <v>48</v>
      </c>
      <c r="C37" s="968"/>
      <c r="D37" s="968"/>
      <c r="E37" s="968"/>
      <c r="F37" s="968"/>
      <c r="G37" s="970"/>
      <c r="J37" s="700"/>
      <c r="K37" s="700"/>
      <c r="L37" s="700"/>
      <c r="M37" s="700"/>
      <c r="N37" s="700"/>
      <c r="O37" s="700"/>
      <c r="P37" s="1713"/>
    </row>
    <row r="38" spans="1:16">
      <c r="A38" s="1720">
        <f t="shared" si="2"/>
        <v>22</v>
      </c>
      <c r="B38" s="1729" t="s">
        <v>328</v>
      </c>
      <c r="C38" s="968"/>
      <c r="D38" s="968"/>
      <c r="E38" s="968"/>
      <c r="F38" s="968"/>
      <c r="G38" s="970"/>
      <c r="J38" s="700"/>
      <c r="K38" s="700"/>
      <c r="L38" s="700"/>
      <c r="M38" s="700"/>
      <c r="N38" s="700"/>
      <c r="O38" s="700"/>
      <c r="P38" s="1713"/>
    </row>
    <row r="39" spans="1:16">
      <c r="A39" s="1720">
        <f t="shared" si="2"/>
        <v>23</v>
      </c>
      <c r="B39" s="1729" t="s">
        <v>1142</v>
      </c>
      <c r="C39" s="968"/>
      <c r="D39" s="968"/>
      <c r="E39" s="968"/>
      <c r="F39" s="968"/>
      <c r="G39" s="970"/>
      <c r="J39" s="700"/>
      <c r="K39" s="700"/>
      <c r="L39" s="700"/>
      <c r="M39" s="700"/>
      <c r="N39" s="700"/>
      <c r="O39" s="700"/>
      <c r="P39" s="1713"/>
    </row>
    <row r="40" spans="1:16">
      <c r="A40" s="1720">
        <f t="shared" si="2"/>
        <v>24</v>
      </c>
      <c r="B40" s="1729" t="s">
        <v>331</v>
      </c>
      <c r="C40" s="968"/>
      <c r="D40" s="968"/>
      <c r="E40" s="968"/>
      <c r="F40" s="968"/>
      <c r="G40" s="970"/>
      <c r="J40" s="700"/>
      <c r="K40" s="700"/>
      <c r="L40" s="700"/>
      <c r="M40" s="700"/>
      <c r="N40" s="700"/>
      <c r="O40" s="700"/>
      <c r="P40" s="1713"/>
    </row>
    <row r="41" spans="1:16">
      <c r="A41" s="1720">
        <f t="shared" si="2"/>
        <v>25</v>
      </c>
      <c r="B41" s="1729" t="s">
        <v>518</v>
      </c>
      <c r="C41" s="968"/>
      <c r="D41" s="968"/>
      <c r="E41" s="968"/>
      <c r="F41" s="968"/>
      <c r="G41" s="970"/>
      <c r="J41" s="700"/>
      <c r="K41" s="700"/>
      <c r="L41" s="700"/>
      <c r="M41" s="700"/>
      <c r="N41" s="700"/>
      <c r="O41" s="700"/>
      <c r="P41" s="1713"/>
    </row>
    <row r="42" spans="1:16">
      <c r="A42" s="1720">
        <f t="shared" si="2"/>
        <v>26</v>
      </c>
      <c r="B42" s="1729" t="s">
        <v>519</v>
      </c>
      <c r="C42" s="968"/>
      <c r="D42" s="968"/>
      <c r="E42" s="968"/>
      <c r="F42" s="968"/>
      <c r="G42" s="970"/>
      <c r="J42" s="700"/>
      <c r="K42" s="700"/>
      <c r="L42" s="700"/>
      <c r="M42" s="700"/>
      <c r="N42" s="700"/>
      <c r="O42" s="700"/>
      <c r="P42" s="1713"/>
    </row>
    <row r="43" spans="1:16">
      <c r="A43" s="1730">
        <f t="shared" si="2"/>
        <v>27</v>
      </c>
      <c r="B43" s="1731" t="s">
        <v>1143</v>
      </c>
      <c r="C43" s="964">
        <v>169872233</v>
      </c>
      <c r="D43" s="964">
        <v>621573</v>
      </c>
      <c r="E43" s="964">
        <v>50977525</v>
      </c>
      <c r="F43" s="964">
        <v>18364257</v>
      </c>
      <c r="G43" s="966">
        <v>21860179.115224134</v>
      </c>
      <c r="J43" s="700"/>
      <c r="K43" s="700"/>
      <c r="L43" s="700"/>
      <c r="M43" s="700"/>
      <c r="N43" s="700"/>
      <c r="O43" s="700"/>
      <c r="P43" s="1713"/>
    </row>
    <row r="44" spans="1:16" ht="26.25" thickBot="1">
      <c r="A44" s="1732">
        <f t="shared" si="2"/>
        <v>28</v>
      </c>
      <c r="B44" s="975" t="s">
        <v>1387</v>
      </c>
      <c r="C44" s="1734">
        <f t="shared" ref="C44" si="3">+(C31+C43)/2</f>
        <v>167851925.5</v>
      </c>
      <c r="D44" s="1734">
        <f t="shared" ref="D44" si="4">+(D31+D43)/2</f>
        <v>584146</v>
      </c>
      <c r="E44" s="1734">
        <f t="shared" ref="E44" si="5">+(E31+E43)/2</f>
        <v>46652687</v>
      </c>
      <c r="F44" s="1734">
        <f t="shared" ref="F44" si="6">+(F31+F43)/2</f>
        <v>18202847</v>
      </c>
      <c r="G44" s="1735">
        <f t="shared" ref="G44" si="7">+(G31+G43)/2</f>
        <v>21257987.411590382</v>
      </c>
      <c r="J44" s="700"/>
      <c r="K44" s="700"/>
      <c r="L44" s="700"/>
      <c r="M44" s="700"/>
      <c r="N44" s="700"/>
      <c r="O44" s="700"/>
      <c r="P44" s="1713"/>
    </row>
    <row r="45" spans="1:16" ht="13.5" thickTop="1">
      <c r="A45" s="1707"/>
      <c r="B45" s="1736"/>
      <c r="C45" s="1737"/>
      <c r="D45" s="1737"/>
      <c r="E45" s="1737"/>
      <c r="F45" s="1004"/>
      <c r="G45" s="1004"/>
      <c r="H45" s="700"/>
      <c r="I45" s="700"/>
      <c r="J45" s="700"/>
      <c r="K45" s="700"/>
      <c r="L45" s="700"/>
      <c r="M45" s="700"/>
      <c r="N45" s="700"/>
      <c r="O45" s="700"/>
      <c r="P45" s="1713"/>
    </row>
    <row r="46" spans="1:16">
      <c r="A46" s="1707">
        <f>+A44+1</f>
        <v>29</v>
      </c>
      <c r="B46" s="1736" t="str">
        <f>"Transmission Accumulated,  net of GSU and Excluded- Ln "&amp;A24&amp;" Col "&amp;E9&amp;" less Ln "&amp;A44&amp;" Cols. "&amp;F29&amp;" &amp; "&amp;G29</f>
        <v>Transmission Accumulated,  net of GSU and Excluded- Ln 14 Col (d) less Ln 28 Cols. (e) &amp; (f)</v>
      </c>
      <c r="C46" s="1737"/>
      <c r="D46" s="1737"/>
      <c r="G46" s="1003">
        <f>+E24-F44-G44</f>
        <v>473673598.0884096</v>
      </c>
      <c r="H46" s="1004"/>
      <c r="I46" s="1004"/>
      <c r="J46" s="1004"/>
      <c r="K46" s="1737"/>
      <c r="L46" s="1737"/>
      <c r="M46" s="1737"/>
      <c r="N46" s="1739"/>
      <c r="O46" s="1739"/>
      <c r="P46" s="1713"/>
    </row>
    <row r="47" spans="1:16">
      <c r="A47" s="1707"/>
      <c r="B47" s="1736"/>
      <c r="C47" s="1737"/>
      <c r="D47" s="1737"/>
      <c r="E47" s="1737"/>
      <c r="F47" s="1004"/>
      <c r="G47" s="1004"/>
      <c r="H47" s="1004"/>
      <c r="I47" s="1004"/>
      <c r="J47" s="1004"/>
      <c r="K47" s="1737"/>
      <c r="L47" s="1737"/>
      <c r="M47" s="1737"/>
      <c r="N47" s="1739"/>
      <c r="O47" s="1739"/>
      <c r="P47" s="1713"/>
    </row>
    <row r="48" spans="1:16">
      <c r="A48" s="1707"/>
      <c r="B48" s="1736"/>
      <c r="C48" s="1737"/>
      <c r="D48" s="1737"/>
      <c r="E48" s="1737"/>
      <c r="F48" s="1004"/>
      <c r="G48" s="1004"/>
      <c r="H48" s="1004"/>
      <c r="I48" s="1004"/>
      <c r="J48" s="1004"/>
      <c r="K48" s="1737"/>
      <c r="L48" s="1737"/>
      <c r="M48" s="1737"/>
      <c r="N48" s="1739"/>
      <c r="O48" s="1739"/>
      <c r="P48" s="1713"/>
    </row>
    <row r="49" spans="1:8">
      <c r="A49" s="1750"/>
      <c r="B49" s="1750"/>
      <c r="C49" s="1750"/>
      <c r="D49" s="1750"/>
      <c r="E49" s="1750"/>
      <c r="F49" s="1750"/>
      <c r="G49" s="1750"/>
      <c r="H49" s="1750"/>
    </row>
    <row r="50" spans="1:8">
      <c r="A50" s="1750"/>
      <c r="B50" s="1750"/>
      <c r="C50" s="1750"/>
      <c r="D50" s="1750"/>
      <c r="E50" s="1750"/>
      <c r="F50" s="1750"/>
      <c r="G50" s="1750"/>
      <c r="H50" s="1750"/>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9" sqref="D9"/>
    </sheetView>
  </sheetViews>
  <sheetFormatPr defaultColWidth="9.140625" defaultRowHeight="12.75"/>
  <cols>
    <col min="1" max="1" width="9.140625" style="916"/>
    <col min="2" max="3" width="27.7109375" style="916" customWidth="1"/>
    <col min="4" max="4" width="41.28515625" style="916" customWidth="1"/>
    <col min="5" max="16384" width="9.140625" style="916"/>
  </cols>
  <sheetData>
    <row r="1" spans="1:13" ht="15">
      <c r="A1" s="1007"/>
    </row>
    <row r="2" spans="1:13" ht="15">
      <c r="A2" s="2447" t="str">
        <f>+'SWEPCO TCOS'!F4</f>
        <v xml:space="preserve">AEP West SPP Member Operating Companies </v>
      </c>
      <c r="B2" s="2447"/>
      <c r="C2" s="2447"/>
      <c r="D2" s="2447"/>
      <c r="E2" s="785"/>
      <c r="F2" s="785"/>
      <c r="G2" s="785"/>
      <c r="H2" s="785"/>
      <c r="I2" s="785"/>
      <c r="J2" s="785"/>
      <c r="K2" s="785"/>
      <c r="L2" s="785"/>
      <c r="M2" s="785"/>
    </row>
    <row r="3" spans="1:13" ht="15">
      <c r="A3" s="2554" t="str">
        <f>+'SWEPCO WS A-1 - Plant'!A3</f>
        <v xml:space="preserve">Actual / Projected 2018 Rate Year Cost of Service Formula Rate </v>
      </c>
      <c r="B3" s="2554"/>
      <c r="C3" s="2554"/>
      <c r="D3" s="2554"/>
      <c r="E3" s="1706"/>
      <c r="F3" s="1706"/>
      <c r="G3" s="1706"/>
      <c r="H3" s="1706"/>
      <c r="I3" s="1706"/>
      <c r="J3" s="1706"/>
      <c r="K3" s="1706"/>
      <c r="L3" s="1706"/>
      <c r="M3" s="1706"/>
    </row>
    <row r="4" spans="1:13" ht="15.75">
      <c r="A4" s="2555" t="s">
        <v>885</v>
      </c>
      <c r="B4" s="2555"/>
      <c r="C4" s="2555"/>
      <c r="D4" s="2555"/>
      <c r="E4" s="1706"/>
      <c r="F4" s="1706"/>
      <c r="G4" s="1706"/>
      <c r="H4" s="1706"/>
      <c r="I4" s="1706"/>
      <c r="J4" s="1706"/>
      <c r="K4" s="1706"/>
      <c r="L4" s="1706"/>
      <c r="M4" s="1706"/>
    </row>
    <row r="5" spans="1:13" ht="15.75">
      <c r="A5" s="2448" t="str">
        <f>+'SWEPCO TCOS'!F8</f>
        <v>SOUTHWESTERN ELECTRIC POWER COMPANY</v>
      </c>
      <c r="B5" s="2448"/>
      <c r="C5" s="2448"/>
      <c r="D5" s="2448"/>
      <c r="E5" s="1009"/>
      <c r="F5" s="1009"/>
      <c r="G5" s="1009"/>
      <c r="H5" s="1009"/>
      <c r="I5" s="1009"/>
      <c r="J5" s="1009"/>
      <c r="K5" s="1009"/>
      <c r="L5" s="1009"/>
      <c r="M5" s="1009"/>
    </row>
    <row r="6" spans="1:13">
      <c r="A6" s="1753"/>
      <c r="B6" s="1753"/>
      <c r="C6" s="1753"/>
      <c r="D6" s="1753"/>
    </row>
    <row r="7" spans="1:13" ht="14.25">
      <c r="A7" s="1011" t="s">
        <v>529</v>
      </c>
      <c r="B7" s="1012"/>
      <c r="C7" s="1754" t="s">
        <v>347</v>
      </c>
      <c r="D7" s="1755" t="s">
        <v>311</v>
      </c>
    </row>
    <row r="8" spans="1:13" ht="15">
      <c r="A8" s="1756"/>
      <c r="B8" s="1757"/>
      <c r="C8" s="1758"/>
      <c r="D8" s="1758"/>
    </row>
    <row r="9" spans="1:13" ht="14.25">
      <c r="A9" s="1018">
        <v>1</v>
      </c>
      <c r="B9" s="1019" t="s">
        <v>531</v>
      </c>
      <c r="C9" s="1020"/>
      <c r="D9" s="964">
        <v>0</v>
      </c>
    </row>
    <row r="10" spans="1:13" ht="14.25">
      <c r="A10" s="1020"/>
      <c r="B10" s="1020"/>
      <c r="C10" s="1020"/>
      <c r="D10" s="1020"/>
    </row>
    <row r="11" spans="1:13" ht="14.25">
      <c r="A11" s="1020"/>
      <c r="B11" s="1020"/>
      <c r="C11" s="1020"/>
      <c r="D11" s="1020"/>
    </row>
    <row r="12" spans="1:13" ht="119.25" customHeight="1">
      <c r="A12" s="1021" t="s">
        <v>530</v>
      </c>
      <c r="B12" s="2449" t="s">
        <v>880</v>
      </c>
      <c r="C12" s="2449"/>
      <c r="D12" s="2449"/>
    </row>
    <row r="13" spans="1:13" ht="14.25">
      <c r="A13" s="1020"/>
      <c r="B13" s="1020"/>
      <c r="C13" s="1020"/>
      <c r="D13" s="1020"/>
    </row>
    <row r="14" spans="1:13" ht="14.25">
      <c r="A14" s="1020"/>
      <c r="B14" s="1020"/>
      <c r="C14" s="1020"/>
      <c r="D14" s="1020"/>
    </row>
    <row r="15" spans="1:13" s="791" customFormat="1" ht="14.25">
      <c r="A15" s="1022"/>
      <c r="B15" s="1022"/>
      <c r="C15" s="1022"/>
      <c r="D15" s="1022"/>
    </row>
    <row r="16" spans="1:13" s="791" customFormat="1" ht="14.25">
      <c r="A16" s="1024"/>
      <c r="B16" s="1025"/>
      <c r="C16" s="1022"/>
      <c r="D16" s="1022"/>
    </row>
    <row r="17" spans="1:2" ht="15" customHeight="1">
      <c r="A17" s="1026"/>
    </row>
    <row r="18" spans="1:2" ht="15.75">
      <c r="B18" s="1027"/>
    </row>
    <row r="19" spans="1:2" ht="15.75">
      <c r="B19" s="1027"/>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topLeftCell="A6" zoomScale="81" zoomScaleNormal="81" zoomScaleSheetLayoutView="93" zoomScalePageLayoutView="80" workbookViewId="0">
      <selection activeCell="E22" sqref="E22"/>
    </sheetView>
  </sheetViews>
  <sheetFormatPr defaultColWidth="9.140625" defaultRowHeight="12.75"/>
  <cols>
    <col min="1" max="2" width="9.7109375" style="1760" customWidth="1"/>
    <col min="3" max="3" width="50.7109375" style="1761" customWidth="1"/>
    <col min="4" max="10" width="16.7109375" style="1761" customWidth="1"/>
    <col min="11" max="11" width="13.85546875" style="1761" customWidth="1"/>
    <col min="12" max="16384" width="9.140625" style="1761"/>
  </cols>
  <sheetData>
    <row r="1" spans="1:16" ht="15">
      <c r="A1" s="1759"/>
    </row>
    <row r="2" spans="1:16" ht="18">
      <c r="A2" s="2560" t="str">
        <f>+'SWEPCO TCOS'!F4</f>
        <v xml:space="preserve">AEP West SPP Member Operating Companies </v>
      </c>
      <c r="B2" s="2560"/>
      <c r="C2" s="2560"/>
      <c r="D2" s="2560"/>
      <c r="E2" s="2560"/>
      <c r="F2" s="2560"/>
      <c r="G2" s="2560"/>
      <c r="H2" s="2560"/>
      <c r="I2" s="2560"/>
      <c r="J2" s="2560"/>
      <c r="K2" s="1108"/>
      <c r="L2" s="791"/>
      <c r="M2" s="791"/>
      <c r="N2" s="791"/>
      <c r="O2" s="791"/>
      <c r="P2" s="791"/>
    </row>
    <row r="3" spans="1:16" ht="18">
      <c r="A3" s="2561" t="str">
        <f>+'SWEPCO WS A-1 - Plant'!A3</f>
        <v xml:space="preserve">Actual / Projected 2018 Rate Year Cost of Service Formula Rate </v>
      </c>
      <c r="B3" s="2561"/>
      <c r="C3" s="2561"/>
      <c r="D3" s="2561"/>
      <c r="E3" s="2561"/>
      <c r="F3" s="2561"/>
      <c r="G3" s="2561"/>
      <c r="H3" s="2561"/>
      <c r="I3" s="2561"/>
      <c r="J3" s="2561"/>
      <c r="K3" s="1108"/>
      <c r="L3" s="791"/>
      <c r="M3" s="791"/>
      <c r="N3" s="791"/>
      <c r="O3" s="791"/>
      <c r="P3" s="791"/>
    </row>
    <row r="4" spans="1:16" ht="18">
      <c r="A4" s="2561" t="s">
        <v>532</v>
      </c>
      <c r="B4" s="2561"/>
      <c r="C4" s="2561"/>
      <c r="D4" s="2561"/>
      <c r="E4" s="2561"/>
      <c r="F4" s="2561"/>
      <c r="G4" s="2561"/>
      <c r="H4" s="2561"/>
      <c r="I4" s="2561"/>
      <c r="J4" s="2561"/>
    </row>
    <row r="5" spans="1:16" ht="18">
      <c r="A5" s="2486" t="str">
        <f>+'SWEPCO TCOS'!F8</f>
        <v>SOUTHWESTERN ELECTRIC POWER COMPANY</v>
      </c>
      <c r="B5" s="2486"/>
      <c r="C5" s="2486"/>
      <c r="D5" s="2486"/>
      <c r="E5" s="2486"/>
      <c r="F5" s="2486"/>
      <c r="G5" s="2486"/>
      <c r="H5" s="2486"/>
      <c r="I5" s="2486"/>
      <c r="J5" s="2486"/>
    </row>
    <row r="6" spans="1:16" ht="20.25">
      <c r="B6" s="1762"/>
      <c r="C6" s="1056"/>
      <c r="D6" s="1056"/>
      <c r="E6" s="1055"/>
      <c r="F6" s="1056"/>
      <c r="G6" s="1056"/>
      <c r="H6" s="1056"/>
      <c r="I6" s="1056"/>
      <c r="J6" s="1055"/>
    </row>
    <row r="7" spans="1:16" ht="20.25">
      <c r="B7" s="1762"/>
      <c r="C7" s="1055" t="s">
        <v>256</v>
      </c>
      <c r="D7" s="1056"/>
      <c r="E7" s="1055"/>
      <c r="F7" s="1056"/>
      <c r="G7" s="1056"/>
      <c r="H7" s="1056"/>
      <c r="I7" s="1056"/>
      <c r="J7" s="1056"/>
    </row>
    <row r="8" spans="1:16">
      <c r="C8" s="1763"/>
      <c r="G8" s="1760"/>
      <c r="H8" s="1760"/>
      <c r="I8" s="1760"/>
    </row>
    <row r="9" spans="1:16">
      <c r="B9" s="1226" t="s">
        <v>303</v>
      </c>
      <c r="C9" s="1226" t="s">
        <v>304</v>
      </c>
      <c r="D9" s="1226" t="s">
        <v>305</v>
      </c>
      <c r="E9" s="1226" t="s">
        <v>231</v>
      </c>
      <c r="F9" s="1226" t="s">
        <v>232</v>
      </c>
      <c r="G9" s="1226" t="s">
        <v>233</v>
      </c>
      <c r="H9" s="1226" t="s">
        <v>238</v>
      </c>
      <c r="I9" s="1226" t="s">
        <v>179</v>
      </c>
      <c r="J9" s="1226" t="s">
        <v>73</v>
      </c>
    </row>
    <row r="10" spans="1:16">
      <c r="E10" s="1764" t="s">
        <v>256</v>
      </c>
      <c r="F10" s="1227" t="s">
        <v>234</v>
      </c>
      <c r="G10" s="1226" t="s">
        <v>160</v>
      </c>
      <c r="H10" s="1226" t="s">
        <v>74</v>
      </c>
      <c r="I10" s="1226" t="s">
        <v>256</v>
      </c>
      <c r="J10" s="1226" t="s">
        <v>319</v>
      </c>
    </row>
    <row r="11" spans="1:16">
      <c r="A11" s="1226" t="s">
        <v>310</v>
      </c>
      <c r="C11" s="1258"/>
      <c r="D11" s="1226"/>
      <c r="E11" s="1226" t="s">
        <v>256</v>
      </c>
      <c r="F11" s="1226" t="s">
        <v>257</v>
      </c>
      <c r="G11" s="1226" t="s">
        <v>195</v>
      </c>
      <c r="H11" s="1226" t="s">
        <v>75</v>
      </c>
      <c r="I11" s="1226" t="s">
        <v>302</v>
      </c>
      <c r="J11" s="1226" t="s">
        <v>72</v>
      </c>
    </row>
    <row r="12" spans="1:16">
      <c r="A12" s="1202" t="s">
        <v>259</v>
      </c>
      <c r="B12" s="1202" t="s">
        <v>237</v>
      </c>
      <c r="C12" s="1202" t="s">
        <v>308</v>
      </c>
      <c r="D12" s="1202" t="s">
        <v>235</v>
      </c>
      <c r="E12" s="1202" t="s">
        <v>76</v>
      </c>
      <c r="F12" s="1202" t="s">
        <v>196</v>
      </c>
      <c r="G12" s="1202" t="s">
        <v>196</v>
      </c>
      <c r="H12" s="1202" t="s">
        <v>77</v>
      </c>
      <c r="I12" s="1202" t="s">
        <v>196</v>
      </c>
      <c r="J12" s="1202" t="s">
        <v>78</v>
      </c>
    </row>
    <row r="13" spans="1:16">
      <c r="C13" s="1763"/>
      <c r="G13" s="1760"/>
      <c r="H13" s="1760"/>
      <c r="I13" s="1760"/>
    </row>
    <row r="14" spans="1:16" ht="12.75" customHeight="1">
      <c r="C14" s="1258"/>
      <c r="G14" s="1760"/>
      <c r="H14" s="1760"/>
      <c r="I14" s="1760"/>
    </row>
    <row r="15" spans="1:16" ht="12.75" customHeight="1">
      <c r="B15" s="1765" t="s">
        <v>506</v>
      </c>
      <c r="C15" s="1258"/>
      <c r="G15" s="1760"/>
      <c r="H15" s="1760"/>
      <c r="I15" s="1760"/>
    </row>
    <row r="16" spans="1:16" ht="12.75" customHeight="1">
      <c r="C16" s="1258"/>
      <c r="G16" s="1760"/>
      <c r="H16" s="1760"/>
      <c r="I16" s="1760"/>
    </row>
    <row r="17" spans="1:10" ht="15.75">
      <c r="C17" s="1766" t="s">
        <v>508</v>
      </c>
    </row>
    <row r="18" spans="1:10" ht="6" customHeight="1">
      <c r="C18" s="1767"/>
    </row>
    <row r="19" spans="1:10" ht="12.75" customHeight="1">
      <c r="A19" s="1760">
        <v>1</v>
      </c>
      <c r="B19" s="1768" t="s">
        <v>81</v>
      </c>
      <c r="C19" s="1225" t="str">
        <f>""&amp;'SWEPCO TCOS'!N2&amp;" Year End Tax Deferrals - WS C-1"</f>
        <v>2018 Year End Tax Deferrals - WS C-1</v>
      </c>
      <c r="D19" s="1769">
        <f>+'SWEPCO WS C-1 ADIT EOY'!H59</f>
        <v>-1379349323.4800003</v>
      </c>
      <c r="E19" s="1769">
        <f>+'SWEPCO WS C-1 ADIT EOY'!J59</f>
        <v>-451558696.84734559</v>
      </c>
      <c r="F19" s="1769">
        <f>+'SWEPCO WS C-1 ADIT EOY'!K59</f>
        <v>-100073878.15265442</v>
      </c>
      <c r="G19" s="1769">
        <f>+'SWEPCO WS C-1 ADIT EOY'!L59</f>
        <v>-817363983.74000001</v>
      </c>
      <c r="H19" s="1769">
        <f>+'SWEPCO WS C-1 ADIT EOY'!M59</f>
        <v>0</v>
      </c>
      <c r="I19" s="1769">
        <f>+'SWEPCO WS C-1 ADIT EOY'!N59</f>
        <v>-10352764.74</v>
      </c>
      <c r="J19" s="1770"/>
    </row>
    <row r="20" spans="1:10" ht="12.75" customHeight="1">
      <c r="A20" s="1760">
        <f>+A19+1</f>
        <v>2</v>
      </c>
      <c r="B20" s="1768" t="s">
        <v>81</v>
      </c>
      <c r="C20" s="1225" t="str">
        <f>""&amp;'SWEPCO TCOS'!N2-1&amp;" Year End Tax Deferrals - WS C-2"</f>
        <v>2017 Year End Tax Deferrals - WS C-2</v>
      </c>
      <c r="D20" s="1769">
        <f>+'SWEPCO WS C-2 ADIT BOY'!H50</f>
        <v>-1366840207.4124997</v>
      </c>
      <c r="E20" s="1769">
        <f>+'SWEPCO WS C-2 ADIT BOY'!J50</f>
        <v>-17500223.517000005</v>
      </c>
      <c r="F20" s="1769">
        <f>+'SWEPCO WS C-2 ADIT BOY'!K50</f>
        <v>0</v>
      </c>
      <c r="G20" s="1769">
        <f>+'SWEPCO WS C-2 ADIT BOY'!L50</f>
        <v>-1337772302.1519997</v>
      </c>
      <c r="H20" s="1769">
        <f>+'SWEPCO WS C-2 ADIT BOY'!M50</f>
        <v>0</v>
      </c>
      <c r="I20" s="1769">
        <f>+'SWEPCO WS C-2 ADIT BOY'!N50</f>
        <v>-11567681.743500002</v>
      </c>
      <c r="J20" s="1760"/>
    </row>
    <row r="21" spans="1:10" ht="12.75" customHeight="1">
      <c r="B21" s="1771" t="s">
        <v>256</v>
      </c>
      <c r="D21" s="1772"/>
      <c r="E21" s="1773"/>
      <c r="F21" s="1772"/>
      <c r="G21" s="1772" t="s">
        <v>256</v>
      </c>
      <c r="H21" s="1772"/>
      <c r="I21" s="1772"/>
    </row>
    <row r="22" spans="1:10" ht="12.75" customHeight="1">
      <c r="A22" s="1760">
        <f>+A20+1</f>
        <v>3</v>
      </c>
      <c r="C22" s="1258" t="s">
        <v>79</v>
      </c>
      <c r="D22" s="1774">
        <f t="shared" ref="D22:I22" si="0">D19+D20</f>
        <v>-2746189530.8924999</v>
      </c>
      <c r="E22" s="1774">
        <f t="shared" si="0"/>
        <v>-469058920.36434561</v>
      </c>
      <c r="F22" s="1774">
        <f t="shared" si="0"/>
        <v>-100073878.15265442</v>
      </c>
      <c r="G22" s="1774">
        <f t="shared" si="0"/>
        <v>-2155136285.8919997</v>
      </c>
      <c r="H22" s="1774">
        <f t="shared" si="0"/>
        <v>0</v>
      </c>
      <c r="I22" s="1774">
        <f t="shared" si="0"/>
        <v>-21920446.483500004</v>
      </c>
      <c r="J22" s="1775"/>
    </row>
    <row r="23" spans="1:10" ht="12.75" customHeight="1">
      <c r="A23" s="1760">
        <f>+A22+1</f>
        <v>4</v>
      </c>
      <c r="C23" s="1258" t="s">
        <v>875</v>
      </c>
      <c r="D23" s="1776">
        <f t="shared" ref="D23:I23" si="1">D22/2</f>
        <v>-1373094765.44625</v>
      </c>
      <c r="E23" s="1776">
        <f t="shared" si="1"/>
        <v>-234529460.18217281</v>
      </c>
      <c r="F23" s="1776">
        <f t="shared" si="1"/>
        <v>-50036939.076327212</v>
      </c>
      <c r="G23" s="1776">
        <f t="shared" si="1"/>
        <v>-1077568142.9459999</v>
      </c>
      <c r="H23" s="1777">
        <f t="shared" si="1"/>
        <v>0</v>
      </c>
      <c r="I23" s="1774">
        <f t="shared" si="1"/>
        <v>-10960223.241750002</v>
      </c>
      <c r="J23" s="1775"/>
    </row>
    <row r="24" spans="1:10" ht="12.75" customHeight="1">
      <c r="A24" s="1760">
        <f>+A23+1</f>
        <v>5</v>
      </c>
      <c r="B24" s="1778"/>
      <c r="C24" s="1779" t="str">
        <f>"Proration Adjustment - WS C-3, Ln "&amp;'SWEPCO WS C-3 ADIT Proration'!A34</f>
        <v>Proration Adjustment - WS C-3, Ln 19</v>
      </c>
      <c r="D24" s="1776"/>
      <c r="E24" s="1776"/>
      <c r="F24" s="1776"/>
      <c r="G24" s="1776">
        <f>'SWEPCO WS C-3 ADIT Proration'!I34</f>
        <v>0</v>
      </c>
      <c r="H24" s="1777"/>
      <c r="I24" s="1780"/>
      <c r="J24" s="1775"/>
    </row>
    <row r="25" spans="1:10" ht="12.75" customHeight="1">
      <c r="A25" s="1760">
        <f>+A24+1</f>
        <v>6</v>
      </c>
      <c r="C25" s="1258" t="s">
        <v>528</v>
      </c>
      <c r="D25" s="1781">
        <f t="shared" ref="D25:I25" si="2">+D23+D24</f>
        <v>-1373094765.44625</v>
      </c>
      <c r="E25" s="1781">
        <f t="shared" si="2"/>
        <v>-234529460.18217281</v>
      </c>
      <c r="F25" s="1781">
        <f t="shared" si="2"/>
        <v>-50036939.076327212</v>
      </c>
      <c r="G25" s="1781">
        <f t="shared" si="2"/>
        <v>-1077568142.9459999</v>
      </c>
      <c r="H25" s="1781">
        <f t="shared" si="2"/>
        <v>0</v>
      </c>
      <c r="I25" s="1781">
        <f t="shared" si="2"/>
        <v>-10960223.241750002</v>
      </c>
      <c r="J25" s="1775"/>
    </row>
    <row r="26" spans="1:10" ht="12.75" customHeight="1">
      <c r="A26" s="1760">
        <f>+A25+1</f>
        <v>7</v>
      </c>
      <c r="B26" s="1782"/>
      <c r="C26" s="1783" t="s">
        <v>876</v>
      </c>
      <c r="D26" s="1784"/>
      <c r="E26" s="1041">
        <v>0</v>
      </c>
      <c r="F26" s="1041">
        <v>1</v>
      </c>
      <c r="G26" s="1041">
        <f>'SWEPCO TCOS'!J63</f>
        <v>0.1920306930200528</v>
      </c>
      <c r="H26" s="1041">
        <f>'SWEPCO TCOS'!J64</f>
        <v>0.45332793337796151</v>
      </c>
      <c r="I26" s="1041">
        <f>'SWEPCO TCOS'!L221</f>
        <v>7.7548538419814919E-2</v>
      </c>
    </row>
    <row r="27" spans="1:10" ht="12.75" customHeight="1">
      <c r="A27" s="1760">
        <f>+A26+1</f>
        <v>8</v>
      </c>
      <c r="C27" s="1258" t="s">
        <v>80</v>
      </c>
      <c r="E27" s="1775">
        <f>E26*E25</f>
        <v>0</v>
      </c>
      <c r="F27" s="1775">
        <f>F26*F25</f>
        <v>-50036939.076327212</v>
      </c>
      <c r="G27" s="1775">
        <f>G26*G25</f>
        <v>-206926157.26625165</v>
      </c>
      <c r="H27" s="1775">
        <f>H26*H25</f>
        <v>0</v>
      </c>
      <c r="I27" s="1775">
        <f>I26*I25</f>
        <v>-849949.29315259843</v>
      </c>
      <c r="J27" s="1042">
        <f>SUM(F27:I27)</f>
        <v>-257813045.63573146</v>
      </c>
    </row>
    <row r="28" spans="1:10" ht="12.75" customHeight="1">
      <c r="C28" s="1767"/>
    </row>
    <row r="29" spans="1:10" ht="12.75" customHeight="1">
      <c r="C29" s="1767"/>
    </row>
    <row r="30" spans="1:10" ht="12.75" customHeight="1">
      <c r="C30" s="1766" t="s">
        <v>509</v>
      </c>
    </row>
    <row r="31" spans="1:10" ht="6" customHeight="1">
      <c r="C31" s="1767"/>
    </row>
    <row r="32" spans="1:10" ht="12.75" customHeight="1">
      <c r="A32" s="1760">
        <f>+A27:B27+1</f>
        <v>9</v>
      </c>
      <c r="B32" s="1768" t="s">
        <v>92</v>
      </c>
      <c r="C32" s="1225" t="str">
        <f>+C19</f>
        <v>2018 Year End Tax Deferrals - WS C-1</v>
      </c>
      <c r="D32" s="1769">
        <f>+'SWEPCO WS C-1 ADIT EOY'!H124</f>
        <v>-31215588.920000017</v>
      </c>
      <c r="E32" s="1769">
        <f>+'SWEPCO WS C-1 ADIT EOY'!J124</f>
        <v>-11003346.972654415</v>
      </c>
      <c r="F32" s="1769">
        <f>+'SWEPCO WS C-1 ADIT EOY'!K124</f>
        <v>298926.95265441737</v>
      </c>
      <c r="G32" s="1769">
        <f>+'SWEPCO WS C-1 ADIT EOY'!L124</f>
        <v>-1543162.6100000003</v>
      </c>
      <c r="H32" s="1769">
        <f>+'SWEPCO WS C-1 ADIT EOY'!M124</f>
        <v>0</v>
      </c>
      <c r="I32" s="1769">
        <f>+'SWEPCO WS C-1 ADIT EOY'!N124</f>
        <v>-18968006.289999999</v>
      </c>
      <c r="J32" s="1770"/>
    </row>
    <row r="33" spans="1:10" ht="12.75" customHeight="1">
      <c r="A33" s="1760">
        <f>+A32+1</f>
        <v>10</v>
      </c>
      <c r="B33" s="1768" t="s">
        <v>92</v>
      </c>
      <c r="C33" s="1225" t="str">
        <f>+C20</f>
        <v>2017 Year End Tax Deferrals - WS C-2</v>
      </c>
      <c r="D33" s="1769">
        <f>+'SWEPCO WS C-2 ADIT BOY'!H108</f>
        <v>-72816094.859999999</v>
      </c>
      <c r="E33" s="1769">
        <f>+'SWEPCO WS C-2 ADIT BOY'!J108</f>
        <v>-38487688.431999996</v>
      </c>
      <c r="F33" s="1769">
        <f>+'SWEPCO WS C-2 ADIT BOY'!K108</f>
        <v>0</v>
      </c>
      <c r="G33" s="1769">
        <f>+'SWEPCO WS C-2 ADIT BOY'!L108</f>
        <v>-1624208.6075000002</v>
      </c>
      <c r="H33" s="1769">
        <f>+'SWEPCO WS C-2 ADIT BOY'!M108</f>
        <v>0</v>
      </c>
      <c r="I33" s="1769">
        <f>+'SWEPCO WS C-2 ADIT BOY'!N108</f>
        <v>-32704197.82049999</v>
      </c>
      <c r="J33" s="1760"/>
    </row>
    <row r="34" spans="1:10" ht="12.75" customHeight="1">
      <c r="B34" s="1771" t="s">
        <v>256</v>
      </c>
      <c r="D34" s="1772"/>
      <c r="E34" s="1773"/>
      <c r="F34" s="1772"/>
      <c r="G34" s="1772" t="s">
        <v>256</v>
      </c>
      <c r="H34" s="1772"/>
      <c r="I34" s="1772"/>
    </row>
    <row r="35" spans="1:10" ht="12.75" customHeight="1">
      <c r="A35" s="1760">
        <f>+A33+1</f>
        <v>11</v>
      </c>
      <c r="C35" s="1258" t="s">
        <v>79</v>
      </c>
      <c r="D35" s="1774">
        <f t="shared" ref="D35:I35" si="3">D32+D33</f>
        <v>-104031683.78000002</v>
      </c>
      <c r="E35" s="1774">
        <f t="shared" si="3"/>
        <v>-49491035.404654413</v>
      </c>
      <c r="F35" s="1774">
        <f t="shared" si="3"/>
        <v>298926.95265441737</v>
      </c>
      <c r="G35" s="1774">
        <f t="shared" si="3"/>
        <v>-3167371.2175000003</v>
      </c>
      <c r="H35" s="1774">
        <f t="shared" si="3"/>
        <v>0</v>
      </c>
      <c r="I35" s="1774">
        <f t="shared" si="3"/>
        <v>-51672204.110499993</v>
      </c>
      <c r="J35" s="1775"/>
    </row>
    <row r="36" spans="1:10" ht="12.75" customHeight="1">
      <c r="A36" s="1760">
        <f>+A35+1</f>
        <v>12</v>
      </c>
      <c r="C36" s="1258" t="s">
        <v>354</v>
      </c>
      <c r="D36" s="1776">
        <f t="shared" ref="D36:I36" si="4">D35/2</f>
        <v>-52015841.890000008</v>
      </c>
      <c r="E36" s="1776">
        <f t="shared" si="4"/>
        <v>-24745517.702327207</v>
      </c>
      <c r="F36" s="1776">
        <f t="shared" si="4"/>
        <v>149463.47632720869</v>
      </c>
      <c r="G36" s="1776">
        <f t="shared" si="4"/>
        <v>-1583685.6087500001</v>
      </c>
      <c r="H36" s="1776">
        <f t="shared" si="4"/>
        <v>0</v>
      </c>
      <c r="I36" s="1776">
        <f t="shared" si="4"/>
        <v>-25836102.055249996</v>
      </c>
      <c r="J36" s="1775"/>
    </row>
    <row r="37" spans="1:10" ht="12.75" customHeight="1">
      <c r="A37" s="1760">
        <f>+A36+1</f>
        <v>13</v>
      </c>
      <c r="B37" s="1782"/>
      <c r="C37" s="1783" t="s">
        <v>877</v>
      </c>
      <c r="D37" s="1784"/>
      <c r="E37" s="1041">
        <f>E26</f>
        <v>0</v>
      </c>
      <c r="F37" s="1041">
        <f>F26</f>
        <v>1</v>
      </c>
      <c r="G37" s="1041">
        <f>G26</f>
        <v>0.1920306930200528</v>
      </c>
      <c r="H37" s="1041">
        <f>H26</f>
        <v>0.45332793337796151</v>
      </c>
      <c r="I37" s="1041">
        <f>I26</f>
        <v>7.7548538419814919E-2</v>
      </c>
    </row>
    <row r="38" spans="1:10" ht="12.75" customHeight="1">
      <c r="A38" s="1760">
        <f>+A37+1</f>
        <v>14</v>
      </c>
      <c r="C38" s="1258" t="s">
        <v>80</v>
      </c>
      <c r="E38" s="1775">
        <f>E36*E37</f>
        <v>0</v>
      </c>
      <c r="F38" s="1775">
        <f>F36*F37</f>
        <v>149463.47632720869</v>
      </c>
      <c r="G38" s="1775">
        <f>G36*G37</f>
        <v>-304116.24497414671</v>
      </c>
      <c r="H38" s="1775">
        <f>H36*H37</f>
        <v>0</v>
      </c>
      <c r="I38" s="1775">
        <f>I36*I37</f>
        <v>-2003551.9528498135</v>
      </c>
      <c r="J38" s="1042">
        <f>SUM(F38:I38)</f>
        <v>-2158204.7214967515</v>
      </c>
    </row>
    <row r="39" spans="1:10" ht="12.75" customHeight="1">
      <c r="C39" s="1767"/>
    </row>
    <row r="40" spans="1:10" ht="12.75" customHeight="1">
      <c r="B40" s="1785"/>
      <c r="C40" s="1043"/>
      <c r="D40" s="1043"/>
      <c r="E40" s="1043"/>
      <c r="F40" s="1043"/>
      <c r="G40" s="1043"/>
      <c r="H40" s="1043"/>
      <c r="I40" s="1043"/>
      <c r="J40" s="1043"/>
    </row>
    <row r="41" spans="1:10" ht="12.75" customHeight="1">
      <c r="C41" s="1258"/>
      <c r="E41" s="1775"/>
      <c r="F41" s="1775"/>
      <c r="G41" s="1775"/>
      <c r="H41" s="1775"/>
      <c r="I41" s="1775"/>
      <c r="J41" s="1786"/>
    </row>
    <row r="42" spans="1:10" ht="15.75">
      <c r="C42" s="1766" t="s">
        <v>507</v>
      </c>
    </row>
    <row r="43" spans="1:10" ht="12.75" customHeight="1">
      <c r="I43" s="1045"/>
    </row>
    <row r="44" spans="1:10" ht="12.75" customHeight="1">
      <c r="A44" s="1760">
        <f>+A38+1</f>
        <v>15</v>
      </c>
      <c r="B44" s="1787">
        <v>190.1</v>
      </c>
      <c r="C44" s="1225" t="str">
        <f>+C19</f>
        <v>2018 Year End Tax Deferrals - WS C-1</v>
      </c>
      <c r="D44" s="1769">
        <f>+'SWEPCO WS C-1 ADIT EOY'!H209</f>
        <v>119453943.19999996</v>
      </c>
      <c r="E44" s="1769">
        <f>+'SWEPCO WS C-1 ADIT EOY'!J209</f>
        <v>99991343.839999989</v>
      </c>
      <c r="F44" s="1769">
        <f>+'SWEPCO WS C-1 ADIT EOY'!K209</f>
        <v>0</v>
      </c>
      <c r="G44" s="1769">
        <f>+'SWEPCO WS C-1 ADIT EOY'!L209</f>
        <v>11646344.6</v>
      </c>
      <c r="H44" s="1769">
        <f>+'SWEPCO WS C-1 ADIT EOY'!M209</f>
        <v>0</v>
      </c>
      <c r="I44" s="1769">
        <f>+'SWEPCO WS C-1 ADIT EOY'!N209</f>
        <v>7816254.7599999998</v>
      </c>
      <c r="J44" s="1770"/>
    </row>
    <row r="45" spans="1:10">
      <c r="A45" s="1760">
        <f>+A44+1</f>
        <v>16</v>
      </c>
      <c r="B45" s="1787">
        <v>190.1</v>
      </c>
      <c r="C45" s="1225" t="str">
        <f>+C20</f>
        <v>2017 Year End Tax Deferrals - WS C-2</v>
      </c>
      <c r="D45" s="1769">
        <f>+'SWEPCO WS C-2 ADIT BOY'!H186</f>
        <v>143369811.375</v>
      </c>
      <c r="E45" s="1769">
        <f>+'SWEPCO WS C-2 ADIT BOY'!J186</f>
        <v>127233155.78999998</v>
      </c>
      <c r="F45" s="1769">
        <f>+'SWEPCO WS C-2 ADIT BOY'!K186</f>
        <v>0</v>
      </c>
      <c r="G45" s="1769">
        <f>+'SWEPCO WS C-2 ADIT BOY'!L186</f>
        <v>5367423.9879999999</v>
      </c>
      <c r="H45" s="1769">
        <f>+'SWEPCO WS C-2 ADIT BOY'!M186</f>
        <v>0</v>
      </c>
      <c r="I45" s="1769">
        <f>+'SWEPCO WS C-2 ADIT BOY'!N186</f>
        <v>10769231.596999997</v>
      </c>
      <c r="J45" s="1760"/>
    </row>
    <row r="46" spans="1:10">
      <c r="B46" s="1771" t="s">
        <v>256</v>
      </c>
      <c r="D46" s="1772"/>
      <c r="E46" s="1773"/>
      <c r="F46" s="1772"/>
      <c r="G46" s="1772" t="s">
        <v>256</v>
      </c>
      <c r="H46" s="1772"/>
      <c r="I46" s="1772"/>
    </row>
    <row r="47" spans="1:10">
      <c r="A47" s="1760">
        <f>+A45+1</f>
        <v>17</v>
      </c>
      <c r="C47" s="1258" t="s">
        <v>79</v>
      </c>
      <c r="D47" s="1774">
        <f t="shared" ref="D47:I47" si="5">D44+D45</f>
        <v>262823754.57499996</v>
      </c>
      <c r="E47" s="1774">
        <f t="shared" si="5"/>
        <v>227224499.62999997</v>
      </c>
      <c r="F47" s="1774">
        <f t="shared" si="5"/>
        <v>0</v>
      </c>
      <c r="G47" s="1774">
        <f t="shared" si="5"/>
        <v>17013768.588</v>
      </c>
      <c r="H47" s="1774">
        <f t="shared" si="5"/>
        <v>0</v>
      </c>
      <c r="I47" s="1774">
        <f t="shared" si="5"/>
        <v>18585486.356999997</v>
      </c>
      <c r="J47" s="1775"/>
    </row>
    <row r="48" spans="1:10">
      <c r="A48" s="1760">
        <f>+A47+1</f>
        <v>18</v>
      </c>
      <c r="C48" s="1258" t="s">
        <v>875</v>
      </c>
      <c r="D48" s="1777">
        <f t="shared" ref="D48:I48" si="6">D47/2</f>
        <v>131411877.28749998</v>
      </c>
      <c r="E48" s="1777">
        <f t="shared" si="6"/>
        <v>113612249.81499998</v>
      </c>
      <c r="F48" s="1777">
        <f t="shared" si="6"/>
        <v>0</v>
      </c>
      <c r="G48" s="1777">
        <f t="shared" si="6"/>
        <v>8506884.2939999998</v>
      </c>
      <c r="H48" s="1777">
        <f t="shared" si="6"/>
        <v>0</v>
      </c>
      <c r="I48" s="1777">
        <f t="shared" si="6"/>
        <v>9292743.1784999985</v>
      </c>
      <c r="J48" s="1775"/>
    </row>
    <row r="49" spans="1:10">
      <c r="A49" s="1760">
        <f>+A48+1</f>
        <v>19</v>
      </c>
      <c r="C49" s="1779" t="str">
        <f>"Proration Adjustment - WS C-3, Ln "&amp;'SWEPCO WS C-3 ADIT Proration'!A60</f>
        <v>Proration Adjustment - WS C-3, Ln 38</v>
      </c>
      <c r="D49" s="1776"/>
      <c r="E49" s="1776"/>
      <c r="F49" s="1776">
        <f>+'SWEPCO WS C-3 ADIT Proration'!I60</f>
        <v>0</v>
      </c>
      <c r="G49" s="1776"/>
      <c r="H49" s="1777"/>
      <c r="I49" s="1780"/>
      <c r="J49" s="1775"/>
    </row>
    <row r="50" spans="1:10">
      <c r="A50" s="1760">
        <f>+A49+1</f>
        <v>20</v>
      </c>
      <c r="C50" s="1258" t="s">
        <v>528</v>
      </c>
      <c r="D50" s="1781">
        <f t="shared" ref="D50:I50" si="7">+D48+D49</f>
        <v>131411877.28749998</v>
      </c>
      <c r="E50" s="1781">
        <f t="shared" si="7"/>
        <v>113612249.81499998</v>
      </c>
      <c r="F50" s="1781">
        <f t="shared" si="7"/>
        <v>0</v>
      </c>
      <c r="G50" s="1781">
        <f t="shared" si="7"/>
        <v>8506884.2939999998</v>
      </c>
      <c r="H50" s="1781">
        <f t="shared" si="7"/>
        <v>0</v>
      </c>
      <c r="I50" s="1781">
        <f t="shared" si="7"/>
        <v>9292743.1784999985</v>
      </c>
      <c r="J50" s="1775"/>
    </row>
    <row r="51" spans="1:10" ht="12.75" customHeight="1">
      <c r="A51" s="1760">
        <f>+A50+1</f>
        <v>21</v>
      </c>
      <c r="B51" s="1782"/>
      <c r="C51" s="1783" t="s">
        <v>876</v>
      </c>
      <c r="D51" s="1784"/>
      <c r="E51" s="1041">
        <v>0</v>
      </c>
      <c r="F51" s="1041">
        <v>1</v>
      </c>
      <c r="G51" s="1041">
        <f>G37</f>
        <v>0.1920306930200528</v>
      </c>
      <c r="H51" s="1041">
        <f>H37</f>
        <v>0.45332793337796151</v>
      </c>
      <c r="I51" s="1041">
        <f>I37</f>
        <v>7.7548538419814919E-2</v>
      </c>
    </row>
    <row r="52" spans="1:10">
      <c r="A52" s="1760">
        <f>+A51+1</f>
        <v>22</v>
      </c>
      <c r="C52" s="1258" t="s">
        <v>80</v>
      </c>
      <c r="E52" s="1775">
        <f>E51*E50</f>
        <v>0</v>
      </c>
      <c r="F52" s="1775">
        <f>F51*F50</f>
        <v>0</v>
      </c>
      <c r="G52" s="1775">
        <f>G51*G50</f>
        <v>1633582.8864182224</v>
      </c>
      <c r="H52" s="1775">
        <f>H51*H50</f>
        <v>0</v>
      </c>
      <c r="I52" s="1775">
        <f>I51*I50</f>
        <v>720638.65140338009</v>
      </c>
      <c r="J52" s="1042">
        <f>SUM(F52:I52)</f>
        <v>2354221.5378216025</v>
      </c>
    </row>
    <row r="53" spans="1:10">
      <c r="E53" s="1788"/>
      <c r="F53" s="1788"/>
      <c r="G53" s="1788"/>
      <c r="I53" s="1045"/>
    </row>
    <row r="54" spans="1:10">
      <c r="E54" s="1047"/>
      <c r="F54" s="1788"/>
      <c r="G54" s="2450" t="s">
        <v>71</v>
      </c>
      <c r="I54" s="1045"/>
      <c r="J54" s="1775" t="s">
        <v>256</v>
      </c>
    </row>
    <row r="55" spans="1:10" ht="15.75">
      <c r="C55" s="1766" t="s">
        <v>82</v>
      </c>
      <c r="E55" s="1047"/>
      <c r="F55" s="1788"/>
      <c r="G55" s="2562"/>
    </row>
    <row r="56" spans="1:10" ht="6.75" customHeight="1">
      <c r="C56" s="1767"/>
      <c r="E56" s="1047"/>
      <c r="F56" s="1788"/>
      <c r="G56" s="2562"/>
    </row>
    <row r="57" spans="1:10" ht="15.75">
      <c r="C57" s="1789"/>
      <c r="G57" s="2562"/>
    </row>
    <row r="58" spans="1:10">
      <c r="A58" s="1760">
        <f>+A52+1</f>
        <v>23</v>
      </c>
      <c r="B58" s="1790">
        <v>255</v>
      </c>
      <c r="C58" s="1791" t="str">
        <f>"Acc Defrd ITC - Federal - 12/31/"&amp;'SWEPCO TCOS'!N2&amp;" (FF1 p. 267, Ln 2.h)"</f>
        <v>Acc Defrd ITC - Federal - 12/31/2018 (FF1 p. 267, Ln 2.h)</v>
      </c>
      <c r="D58" s="1792">
        <v>4484028</v>
      </c>
      <c r="E58" s="1769"/>
      <c r="F58" s="1769"/>
      <c r="G58" s="1769">
        <v>0</v>
      </c>
      <c r="H58" s="1769"/>
      <c r="I58" s="1769"/>
      <c r="J58" s="1770"/>
    </row>
    <row r="59" spans="1:10">
      <c r="A59" s="1760">
        <f>+A58+1</f>
        <v>24</v>
      </c>
      <c r="B59" s="1790">
        <v>255</v>
      </c>
      <c r="C59" s="1791" t="str">
        <f>"Acc Defrd ITC - Federal - 12/31/"&amp;'SWEPCO TCOS'!N2-1&amp;" (FF1 p. 266, Ln 2.b)"</f>
        <v>Acc Defrd ITC - Federal - 12/31/2017 (FF1 p. 266, Ln 2.b)</v>
      </c>
      <c r="D59" s="1792">
        <v>5906253</v>
      </c>
      <c r="E59" s="1769"/>
      <c r="F59" s="1769"/>
      <c r="G59" s="1769">
        <f>D59</f>
        <v>5906253</v>
      </c>
      <c r="H59" s="1769"/>
      <c r="I59" s="1769"/>
      <c r="J59" s="1760"/>
    </row>
    <row r="60" spans="1:10">
      <c r="B60" s="1771" t="s">
        <v>256</v>
      </c>
      <c r="D60" s="1772"/>
      <c r="E60" s="1772"/>
      <c r="F60" s="1772"/>
      <c r="G60" s="1772" t="s">
        <v>256</v>
      </c>
      <c r="H60" s="1772"/>
      <c r="I60" s="1772"/>
    </row>
    <row r="61" spans="1:10">
      <c r="A61" s="1760">
        <f>+A59+1</f>
        <v>25</v>
      </c>
      <c r="C61" s="1258" t="s">
        <v>79</v>
      </c>
      <c r="D61" s="1774">
        <f>D58+D59</f>
        <v>10390281</v>
      </c>
      <c r="E61" s="1774"/>
      <c r="F61" s="1774"/>
      <c r="G61" s="1774">
        <f>G58+G59</f>
        <v>5906253</v>
      </c>
      <c r="H61" s="1774"/>
      <c r="I61" s="1774"/>
      <c r="J61" s="1775"/>
    </row>
    <row r="62" spans="1:10">
      <c r="A62" s="1760">
        <f>+A61+1</f>
        <v>26</v>
      </c>
      <c r="C62" s="1258" t="s">
        <v>354</v>
      </c>
      <c r="D62" s="1776">
        <f>D61/2</f>
        <v>5195140.5</v>
      </c>
      <c r="E62" s="1776"/>
      <c r="F62" s="1776"/>
      <c r="G62" s="1776">
        <f>G61/2</f>
        <v>2953126.5</v>
      </c>
      <c r="H62" s="1777"/>
      <c r="I62" s="1777"/>
      <c r="J62" s="1775"/>
    </row>
    <row r="63" spans="1:10" ht="12.75" customHeight="1">
      <c r="A63" s="1760">
        <f>+A62+1</f>
        <v>27</v>
      </c>
      <c r="B63" s="1782"/>
      <c r="C63" s="1783" t="s">
        <v>876</v>
      </c>
      <c r="D63" s="1784"/>
      <c r="E63" s="1049"/>
      <c r="F63" s="1049"/>
      <c r="G63" s="1041">
        <f>G51</f>
        <v>0.1920306930200528</v>
      </c>
      <c r="H63" s="1049"/>
      <c r="I63" s="1049"/>
    </row>
    <row r="64" spans="1:10">
      <c r="A64" s="1760">
        <f>+A63+1</f>
        <v>28</v>
      </c>
      <c r="C64" s="1258" t="s">
        <v>80</v>
      </c>
      <c r="E64" s="1049" t="s">
        <v>16</v>
      </c>
      <c r="F64" s="1049" t="s">
        <v>16</v>
      </c>
      <c r="G64" s="1775">
        <f>G63*G62</f>
        <v>567090.92837088299</v>
      </c>
      <c r="H64" s="1049" t="s">
        <v>16</v>
      </c>
      <c r="I64" s="1049" t="s">
        <v>16</v>
      </c>
      <c r="J64" s="1042">
        <f>SUM(F64:I64)</f>
        <v>567090.92837088299</v>
      </c>
    </row>
    <row r="65" spans="2:10" ht="12.75" customHeight="1">
      <c r="C65" s="1767"/>
      <c r="E65" s="1047"/>
      <c r="F65" s="1788"/>
      <c r="G65" s="1047"/>
    </row>
    <row r="66" spans="2:10" ht="12.75" customHeight="1">
      <c r="C66" s="1767"/>
      <c r="E66" s="1047"/>
      <c r="F66" s="1788"/>
      <c r="G66" s="1047"/>
    </row>
    <row r="67" spans="2:10" ht="12.75" customHeight="1">
      <c r="B67" s="846" t="s">
        <v>83</v>
      </c>
      <c r="C67" s="791" t="s">
        <v>84</v>
      </c>
      <c r="D67" s="791"/>
      <c r="E67" s="791"/>
      <c r="F67" s="791"/>
      <c r="G67" s="791"/>
      <c r="H67" s="791"/>
      <c r="I67" s="791"/>
      <c r="J67" s="791"/>
    </row>
    <row r="68" spans="2:10" ht="12.75" customHeight="1">
      <c r="B68" s="846"/>
      <c r="C68" s="791"/>
      <c r="D68" s="791"/>
      <c r="E68" s="791"/>
      <c r="F68" s="791"/>
      <c r="G68" s="791"/>
      <c r="H68" s="791"/>
      <c r="I68" s="791"/>
      <c r="J68" s="791"/>
    </row>
    <row r="69" spans="2:10" ht="12.75" customHeight="1">
      <c r="B69" s="846"/>
      <c r="C69" s="791"/>
      <c r="D69" s="791"/>
      <c r="E69" s="791"/>
      <c r="F69" s="791"/>
      <c r="G69" s="791"/>
      <c r="H69" s="791"/>
      <c r="I69" s="791"/>
      <c r="J69" s="791"/>
    </row>
    <row r="70" spans="2:10" ht="12.75" customHeight="1">
      <c r="B70" s="846"/>
      <c r="C70" s="791"/>
      <c r="D70" s="791"/>
      <c r="E70" s="791"/>
      <c r="F70" s="791"/>
      <c r="G70" s="791"/>
      <c r="H70" s="791"/>
      <c r="I70" s="791"/>
      <c r="J70" s="791"/>
    </row>
    <row r="71" spans="2:10" ht="12.75" customHeight="1">
      <c r="B71" s="846"/>
      <c r="C71" s="791"/>
      <c r="D71" s="791"/>
      <c r="E71" s="791"/>
      <c r="F71" s="791"/>
      <c r="G71" s="791"/>
      <c r="H71" s="791"/>
      <c r="I71" s="791"/>
      <c r="J71" s="791"/>
    </row>
    <row r="72" spans="2:10">
      <c r="B72" s="846"/>
      <c r="C72" s="791"/>
      <c r="D72" s="791"/>
      <c r="E72" s="791"/>
      <c r="F72" s="791"/>
      <c r="G72" s="791"/>
      <c r="H72" s="791"/>
      <c r="I72" s="791"/>
      <c r="J72" s="791"/>
    </row>
    <row r="73" spans="2:10">
      <c r="B73" s="846"/>
      <c r="C73" s="791"/>
      <c r="D73" s="791"/>
      <c r="E73" s="791"/>
      <c r="F73" s="791"/>
      <c r="G73" s="791"/>
      <c r="H73" s="791"/>
      <c r="I73" s="791"/>
      <c r="J73" s="791"/>
    </row>
    <row r="74" spans="2:10">
      <c r="B74" s="846"/>
      <c r="C74" s="791"/>
      <c r="D74" s="791"/>
      <c r="E74" s="791"/>
      <c r="F74" s="791"/>
      <c r="G74" s="791"/>
      <c r="H74" s="791"/>
      <c r="I74" s="791"/>
      <c r="J74" s="791"/>
    </row>
    <row r="75" spans="2:10">
      <c r="B75" s="846"/>
      <c r="C75" s="791"/>
      <c r="D75" s="791"/>
      <c r="E75" s="791"/>
      <c r="F75" s="791"/>
      <c r="G75" s="791"/>
      <c r="H75" s="791"/>
      <c r="I75" s="791"/>
      <c r="J75" s="791"/>
    </row>
    <row r="76" spans="2:10">
      <c r="B76" s="846"/>
      <c r="C76" s="791"/>
      <c r="D76" s="791"/>
      <c r="E76" s="791"/>
      <c r="F76" s="791"/>
      <c r="G76" s="791"/>
      <c r="H76" s="791"/>
      <c r="I76" s="791"/>
      <c r="J76" s="791" t="s">
        <v>256</v>
      </c>
    </row>
    <row r="77" spans="2:10">
      <c r="B77" s="846"/>
      <c r="C77" s="791"/>
      <c r="D77" s="791"/>
      <c r="E77" s="791"/>
      <c r="F77" s="791"/>
      <c r="G77" s="791"/>
      <c r="H77" s="791"/>
      <c r="I77" s="791"/>
      <c r="J77" s="791"/>
    </row>
    <row r="78" spans="2:10">
      <c r="B78" s="846"/>
      <c r="C78" s="791"/>
      <c r="D78" s="791"/>
      <c r="E78" s="791"/>
      <c r="F78" s="791"/>
      <c r="G78" s="791"/>
      <c r="H78" s="791"/>
      <c r="I78" s="791"/>
      <c r="J78" s="791"/>
    </row>
    <row r="79" spans="2:10">
      <c r="B79" s="846"/>
      <c r="C79" s="791"/>
      <c r="D79" s="791"/>
      <c r="E79" s="791"/>
      <c r="F79" s="791"/>
      <c r="G79" s="791"/>
      <c r="H79" s="791"/>
      <c r="I79" s="791"/>
      <c r="J79" s="791"/>
    </row>
    <row r="80" spans="2:10">
      <c r="B80" s="846"/>
      <c r="C80" s="791"/>
      <c r="D80" s="791"/>
      <c r="E80" s="791"/>
      <c r="F80" s="791"/>
      <c r="G80" s="791"/>
      <c r="H80" s="791"/>
      <c r="I80" s="791"/>
      <c r="J80" s="791"/>
    </row>
    <row r="81" spans="2:11">
      <c r="B81" s="846"/>
      <c r="C81" s="791"/>
      <c r="D81" s="791"/>
      <c r="E81" s="791"/>
      <c r="F81" s="791"/>
      <c r="G81" s="791"/>
      <c r="H81" s="791"/>
      <c r="I81" s="791"/>
      <c r="J81" s="791"/>
    </row>
    <row r="82" spans="2:11">
      <c r="B82" s="846"/>
      <c r="C82" s="791"/>
      <c r="D82" s="791"/>
      <c r="E82" s="791"/>
      <c r="F82" s="791"/>
      <c r="G82" s="791"/>
      <c r="H82" s="791"/>
      <c r="I82" s="791"/>
      <c r="J82" s="791"/>
    </row>
    <row r="83" spans="2:11">
      <c r="B83" s="846"/>
      <c r="C83" s="791"/>
      <c r="D83" s="791"/>
      <c r="E83" s="791"/>
      <c r="F83" s="791"/>
      <c r="G83" s="791"/>
      <c r="H83" s="791"/>
      <c r="I83" s="791"/>
      <c r="J83" s="791"/>
    </row>
    <row r="84" spans="2:11">
      <c r="B84" s="846"/>
      <c r="C84" s="791"/>
      <c r="D84" s="791"/>
      <c r="E84" s="791"/>
      <c r="F84" s="791"/>
      <c r="G84" s="791"/>
      <c r="H84" s="791"/>
      <c r="I84" s="791"/>
      <c r="J84" s="791"/>
      <c r="K84" s="791"/>
    </row>
    <row r="85" spans="2:11">
      <c r="B85" s="846"/>
      <c r="C85" s="791"/>
      <c r="D85" s="791"/>
      <c r="E85" s="791"/>
      <c r="F85" s="791"/>
      <c r="G85" s="791"/>
      <c r="H85" s="791"/>
      <c r="I85" s="791"/>
      <c r="J85" s="791"/>
      <c r="K85" s="791"/>
    </row>
    <row r="86" spans="2:11">
      <c r="B86" s="846"/>
      <c r="C86" s="791"/>
      <c r="D86" s="791"/>
      <c r="E86" s="791"/>
      <c r="F86" s="791"/>
      <c r="G86" s="791"/>
      <c r="H86" s="791"/>
      <c r="I86" s="791"/>
      <c r="J86" s="791"/>
      <c r="K86" s="791"/>
    </row>
    <row r="87" spans="2:11">
      <c r="B87" s="846"/>
      <c r="C87" s="791"/>
      <c r="D87" s="791"/>
      <c r="E87" s="791"/>
      <c r="F87" s="791"/>
      <c r="G87" s="791"/>
      <c r="H87" s="791"/>
      <c r="I87" s="791"/>
      <c r="J87" s="791"/>
      <c r="K87" s="791"/>
    </row>
    <row r="88" spans="2:11">
      <c r="B88" s="846"/>
      <c r="C88" s="791"/>
      <c r="D88" s="791"/>
      <c r="E88" s="791"/>
      <c r="F88" s="791"/>
      <c r="G88" s="791"/>
      <c r="H88" s="791"/>
      <c r="I88" s="791"/>
      <c r="J88" s="791"/>
      <c r="K88" s="791"/>
    </row>
    <row r="89" spans="2:11">
      <c r="B89" s="846"/>
      <c r="C89" s="791"/>
      <c r="D89" s="791"/>
      <c r="E89" s="791"/>
      <c r="F89" s="791"/>
      <c r="G89" s="791"/>
      <c r="H89" s="791"/>
      <c r="I89" s="791"/>
      <c r="J89" s="791"/>
      <c r="K89" s="791"/>
    </row>
    <row r="90" spans="2:11">
      <c r="B90" s="846"/>
      <c r="C90" s="791"/>
      <c r="D90" s="791"/>
      <c r="E90" s="791"/>
      <c r="F90" s="791"/>
      <c r="G90" s="791"/>
      <c r="H90" s="791"/>
      <c r="I90" s="791"/>
      <c r="J90" s="791"/>
      <c r="K90" s="791"/>
    </row>
    <row r="91" spans="2:11">
      <c r="B91" s="846"/>
      <c r="C91" s="791"/>
      <c r="D91" s="791"/>
      <c r="E91" s="791"/>
      <c r="F91" s="791"/>
      <c r="G91" s="791"/>
      <c r="H91" s="791"/>
      <c r="I91" s="791"/>
      <c r="J91" s="791"/>
      <c r="K91" s="791"/>
    </row>
    <row r="92" spans="2:11">
      <c r="B92" s="846"/>
      <c r="C92" s="791"/>
      <c r="D92" s="791"/>
      <c r="E92" s="791"/>
      <c r="F92" s="791"/>
      <c r="G92" s="791"/>
      <c r="H92" s="791"/>
      <c r="I92" s="791"/>
      <c r="J92" s="791"/>
      <c r="K92" s="791"/>
    </row>
    <row r="93" spans="2:11">
      <c r="B93" s="846"/>
      <c r="C93" s="791"/>
      <c r="D93" s="791"/>
      <c r="E93" s="791"/>
      <c r="F93" s="791"/>
      <c r="G93" s="791"/>
      <c r="H93" s="791"/>
      <c r="I93" s="791"/>
      <c r="J93" s="791"/>
      <c r="K93" s="791"/>
    </row>
    <row r="94" spans="2:11">
      <c r="B94" s="846"/>
      <c r="C94" s="791"/>
      <c r="D94" s="791"/>
      <c r="E94" s="791"/>
      <c r="F94" s="791"/>
      <c r="G94" s="791"/>
      <c r="H94" s="791"/>
      <c r="I94" s="791"/>
      <c r="J94" s="791"/>
      <c r="K94" s="791"/>
    </row>
    <row r="95" spans="2:11">
      <c r="B95" s="846"/>
      <c r="C95" s="791"/>
      <c r="D95" s="791"/>
      <c r="E95" s="791"/>
      <c r="F95" s="791"/>
      <c r="G95" s="791"/>
      <c r="H95" s="791"/>
      <c r="I95" s="791"/>
      <c r="J95" s="791"/>
      <c r="K95" s="791"/>
    </row>
    <row r="96" spans="2:11">
      <c r="B96" s="846"/>
      <c r="C96" s="791"/>
      <c r="D96" s="791"/>
      <c r="E96" s="791"/>
      <c r="F96" s="791"/>
      <c r="G96" s="791"/>
      <c r="H96" s="791"/>
      <c r="I96" s="791"/>
      <c r="J96" s="791"/>
      <c r="K96" s="791"/>
    </row>
    <row r="97" spans="2:11">
      <c r="B97" s="846"/>
      <c r="C97" s="791"/>
      <c r="D97" s="791"/>
      <c r="E97" s="791"/>
      <c r="F97" s="791"/>
      <c r="G97" s="791"/>
      <c r="H97" s="791"/>
      <c r="I97" s="791"/>
      <c r="J97" s="791"/>
      <c r="K97" s="791"/>
    </row>
    <row r="98" spans="2:11">
      <c r="B98" s="846"/>
      <c r="C98" s="791"/>
      <c r="D98" s="791"/>
      <c r="E98" s="791"/>
      <c r="F98" s="791"/>
      <c r="G98" s="791"/>
      <c r="H98" s="791"/>
      <c r="I98" s="791"/>
      <c r="J98" s="791"/>
      <c r="K98" s="791"/>
    </row>
    <row r="99" spans="2:11">
      <c r="B99" s="846"/>
      <c r="C99" s="791"/>
      <c r="D99" s="791"/>
      <c r="E99" s="791"/>
      <c r="F99" s="791"/>
      <c r="G99" s="791"/>
      <c r="H99" s="791"/>
      <c r="I99" s="791"/>
      <c r="J99" s="791"/>
      <c r="K99" s="791"/>
    </row>
    <row r="100" spans="2:11">
      <c r="B100" s="846"/>
      <c r="C100" s="791"/>
      <c r="D100" s="791"/>
      <c r="E100" s="791"/>
      <c r="F100" s="791"/>
      <c r="G100" s="791"/>
      <c r="H100" s="791"/>
      <c r="I100" s="791"/>
      <c r="J100" s="791"/>
      <c r="K100" s="791"/>
    </row>
    <row r="101" spans="2:11">
      <c r="B101" s="846"/>
      <c r="C101" s="791"/>
      <c r="D101" s="791"/>
      <c r="E101" s="791"/>
      <c r="F101" s="791"/>
      <c r="G101" s="791"/>
      <c r="H101" s="791"/>
      <c r="I101" s="791"/>
      <c r="J101" s="791"/>
      <c r="K101" s="791"/>
    </row>
    <row r="102" spans="2:11">
      <c r="B102" s="846"/>
      <c r="C102" s="791"/>
      <c r="D102" s="791"/>
      <c r="E102" s="791"/>
      <c r="F102" s="791"/>
      <c r="G102" s="791"/>
      <c r="H102" s="791"/>
      <c r="I102" s="791"/>
      <c r="J102" s="791"/>
      <c r="K102" s="791"/>
    </row>
    <row r="103" spans="2:11">
      <c r="B103" s="846"/>
      <c r="C103" s="791"/>
      <c r="D103" s="791"/>
      <c r="E103" s="791"/>
      <c r="F103" s="791"/>
      <c r="G103" s="791"/>
      <c r="H103" s="791"/>
      <c r="I103" s="791"/>
      <c r="J103" s="791"/>
      <c r="K103" s="791"/>
    </row>
    <row r="104" spans="2:11">
      <c r="B104" s="846"/>
      <c r="C104" s="791"/>
      <c r="D104" s="791"/>
      <c r="E104" s="791"/>
      <c r="F104" s="791"/>
      <c r="G104" s="791"/>
      <c r="H104" s="791"/>
      <c r="I104" s="791"/>
      <c r="J104" s="791"/>
      <c r="K104" s="791"/>
    </row>
    <row r="105" spans="2:11">
      <c r="B105" s="846"/>
      <c r="C105" s="791"/>
      <c r="D105" s="791"/>
      <c r="E105" s="791"/>
      <c r="F105" s="791"/>
      <c r="G105" s="791"/>
      <c r="H105" s="791"/>
      <c r="I105" s="791"/>
      <c r="J105" s="791"/>
      <c r="K105" s="791"/>
    </row>
    <row r="106" spans="2:11">
      <c r="B106" s="846"/>
      <c r="C106" s="791"/>
      <c r="D106" s="791"/>
      <c r="E106" s="791"/>
      <c r="F106" s="791"/>
      <c r="G106" s="791"/>
      <c r="H106" s="791"/>
      <c r="I106" s="791"/>
      <c r="J106" s="791"/>
      <c r="K106" s="791"/>
    </row>
    <row r="107" spans="2:11">
      <c r="B107" s="846"/>
      <c r="C107" s="791"/>
      <c r="D107" s="791"/>
      <c r="E107" s="791"/>
      <c r="F107" s="791"/>
      <c r="G107" s="791"/>
      <c r="H107" s="791"/>
      <c r="I107" s="791"/>
      <c r="J107" s="791"/>
      <c r="K107" s="791"/>
    </row>
    <row r="108" spans="2:11">
      <c r="B108" s="846"/>
      <c r="C108" s="791"/>
      <c r="D108" s="791"/>
      <c r="E108" s="791"/>
      <c r="F108" s="791"/>
      <c r="G108" s="791"/>
      <c r="H108" s="791"/>
      <c r="I108" s="791"/>
      <c r="J108" s="791"/>
      <c r="K108" s="791"/>
    </row>
    <row r="109" spans="2:11">
      <c r="B109" s="846"/>
      <c r="C109" s="791"/>
      <c r="D109" s="791"/>
      <c r="E109" s="791"/>
      <c r="F109" s="791"/>
      <c r="G109" s="791"/>
      <c r="H109" s="791"/>
      <c r="I109" s="791"/>
      <c r="J109" s="791"/>
      <c r="K109" s="791"/>
    </row>
    <row r="110" spans="2:11">
      <c r="B110" s="846"/>
      <c r="C110" s="791"/>
      <c r="D110" s="791"/>
      <c r="E110" s="791"/>
      <c r="F110" s="791"/>
      <c r="G110" s="791"/>
      <c r="H110" s="791"/>
      <c r="I110" s="791"/>
      <c r="J110" s="791"/>
      <c r="K110" s="791"/>
    </row>
    <row r="111" spans="2:11">
      <c r="B111" s="846"/>
      <c r="C111" s="791"/>
      <c r="D111" s="791"/>
      <c r="E111" s="791"/>
      <c r="F111" s="791"/>
      <c r="G111" s="791"/>
      <c r="H111" s="791"/>
      <c r="I111" s="791"/>
      <c r="J111" s="791"/>
      <c r="K111" s="791"/>
    </row>
    <row r="112" spans="2:11">
      <c r="B112" s="846"/>
      <c r="C112" s="791"/>
      <c r="D112" s="791"/>
      <c r="E112" s="791"/>
      <c r="F112" s="791"/>
      <c r="G112" s="791"/>
      <c r="H112" s="791"/>
      <c r="I112" s="791"/>
      <c r="J112" s="791"/>
      <c r="K112" s="791"/>
    </row>
    <row r="113" spans="2:11">
      <c r="B113" s="846"/>
      <c r="C113" s="791"/>
      <c r="D113" s="791"/>
      <c r="E113" s="791"/>
      <c r="F113" s="791"/>
      <c r="G113" s="791"/>
      <c r="H113" s="791"/>
      <c r="I113" s="791"/>
      <c r="J113" s="791"/>
      <c r="K113" s="791"/>
    </row>
    <row r="114" spans="2:11">
      <c r="B114" s="846"/>
      <c r="C114" s="791"/>
      <c r="D114" s="791"/>
      <c r="E114" s="791"/>
      <c r="F114" s="791"/>
      <c r="G114" s="791"/>
      <c r="H114" s="791"/>
      <c r="I114" s="791"/>
      <c r="J114" s="791"/>
      <c r="K114" s="791"/>
    </row>
    <row r="115" spans="2:11">
      <c r="B115" s="846"/>
      <c r="C115" s="791"/>
      <c r="D115" s="791"/>
      <c r="E115" s="791"/>
      <c r="F115" s="791"/>
      <c r="G115" s="791"/>
      <c r="H115" s="791"/>
      <c r="I115" s="791"/>
      <c r="J115" s="791"/>
      <c r="K115" s="791"/>
    </row>
    <row r="116" spans="2:11">
      <c r="B116" s="846"/>
      <c r="C116" s="791"/>
      <c r="D116" s="791"/>
      <c r="E116" s="791"/>
      <c r="F116" s="791"/>
      <c r="G116" s="791"/>
      <c r="H116" s="791"/>
      <c r="I116" s="791"/>
      <c r="J116" s="791"/>
      <c r="K116" s="791"/>
    </row>
    <row r="117" spans="2:11">
      <c r="B117" s="846"/>
      <c r="C117" s="791"/>
      <c r="D117" s="791"/>
      <c r="E117" s="791"/>
      <c r="F117" s="791"/>
      <c r="G117" s="791"/>
      <c r="H117" s="791"/>
      <c r="I117" s="791"/>
      <c r="J117" s="791"/>
      <c r="K117" s="791"/>
    </row>
    <row r="118" spans="2:11">
      <c r="B118" s="846"/>
      <c r="C118" s="791"/>
      <c r="D118" s="791"/>
      <c r="E118" s="791"/>
      <c r="F118" s="791"/>
      <c r="G118" s="791"/>
      <c r="H118" s="791"/>
      <c r="I118" s="791"/>
      <c r="J118" s="791"/>
      <c r="K118" s="791"/>
    </row>
    <row r="119" spans="2:11">
      <c r="B119" s="846"/>
      <c r="C119" s="791"/>
      <c r="D119" s="791"/>
      <c r="E119" s="791"/>
      <c r="F119" s="791"/>
      <c r="G119" s="791"/>
      <c r="H119" s="791"/>
      <c r="I119" s="791"/>
      <c r="J119" s="791"/>
      <c r="K119" s="791"/>
    </row>
    <row r="120" spans="2:11">
      <c r="B120" s="846"/>
      <c r="C120" s="791"/>
      <c r="D120" s="791"/>
      <c r="E120" s="791"/>
      <c r="F120" s="791"/>
      <c r="G120" s="791"/>
      <c r="H120" s="791"/>
      <c r="I120" s="791"/>
      <c r="J120" s="791"/>
      <c r="K120" s="791"/>
    </row>
    <row r="121" spans="2:11">
      <c r="B121" s="846"/>
      <c r="C121" s="791"/>
      <c r="D121" s="791"/>
      <c r="E121" s="791"/>
      <c r="F121" s="791"/>
      <c r="G121" s="791"/>
      <c r="H121" s="791"/>
      <c r="I121" s="791"/>
      <c r="J121" s="791"/>
      <c r="K121" s="791"/>
    </row>
    <row r="122" spans="2:11">
      <c r="B122" s="846"/>
      <c r="C122" s="791"/>
      <c r="D122" s="791"/>
      <c r="E122" s="791"/>
      <c r="F122" s="791"/>
      <c r="G122" s="791"/>
      <c r="H122" s="791"/>
      <c r="I122" s="791"/>
      <c r="J122" s="791"/>
      <c r="K122" s="791"/>
    </row>
    <row r="123" spans="2:11">
      <c r="B123" s="846"/>
      <c r="C123" s="791"/>
      <c r="D123" s="791"/>
      <c r="E123" s="791"/>
      <c r="F123" s="791"/>
      <c r="G123" s="791"/>
      <c r="H123" s="791"/>
      <c r="I123" s="791"/>
      <c r="J123" s="791"/>
      <c r="K123" s="791"/>
    </row>
    <row r="124" spans="2:11">
      <c r="B124" s="846"/>
      <c r="C124" s="791"/>
      <c r="D124" s="791"/>
      <c r="E124" s="791"/>
      <c r="F124" s="791"/>
      <c r="G124" s="791"/>
      <c r="H124" s="791"/>
      <c r="I124" s="791"/>
      <c r="J124" s="791"/>
      <c r="K124" s="791"/>
    </row>
    <row r="125" spans="2:11">
      <c r="B125" s="846"/>
      <c r="C125" s="791"/>
      <c r="D125" s="791"/>
      <c r="E125" s="791"/>
      <c r="F125" s="791"/>
      <c r="G125" s="791"/>
      <c r="H125" s="791"/>
      <c r="I125" s="791"/>
      <c r="J125" s="791"/>
      <c r="K125" s="791"/>
    </row>
    <row r="126" spans="2:11">
      <c r="B126" s="846"/>
      <c r="C126" s="791"/>
      <c r="D126" s="791"/>
      <c r="E126" s="791"/>
      <c r="F126" s="791"/>
      <c r="G126" s="791"/>
      <c r="H126" s="791"/>
      <c r="I126" s="791"/>
      <c r="J126" s="791"/>
      <c r="K126" s="791"/>
    </row>
    <row r="127" spans="2:11">
      <c r="B127" s="846"/>
      <c r="C127" s="791"/>
      <c r="D127" s="791"/>
      <c r="E127" s="791"/>
      <c r="F127" s="791"/>
      <c r="G127" s="791"/>
      <c r="H127" s="791"/>
      <c r="I127" s="791"/>
      <c r="J127" s="791"/>
      <c r="K127" s="791"/>
    </row>
    <row r="128" spans="2:11">
      <c r="B128" s="846"/>
      <c r="C128" s="791"/>
      <c r="D128" s="791"/>
      <c r="E128" s="791"/>
      <c r="F128" s="791"/>
      <c r="G128" s="791"/>
      <c r="H128" s="791"/>
      <c r="I128" s="791"/>
      <c r="J128" s="791"/>
      <c r="K128" s="791"/>
    </row>
    <row r="129" spans="2:11">
      <c r="B129" s="846"/>
      <c r="C129" s="791"/>
      <c r="D129" s="791"/>
      <c r="E129" s="791"/>
      <c r="F129" s="791"/>
      <c r="G129" s="791"/>
      <c r="H129" s="791"/>
      <c r="I129" s="791"/>
      <c r="J129" s="791"/>
      <c r="K129" s="791"/>
    </row>
    <row r="130" spans="2:11">
      <c r="B130" s="846"/>
      <c r="C130" s="791"/>
      <c r="D130" s="791"/>
      <c r="E130" s="791"/>
      <c r="F130" s="791"/>
      <c r="G130" s="791"/>
      <c r="H130" s="791"/>
      <c r="I130" s="791"/>
      <c r="J130" s="791"/>
      <c r="K130" s="791"/>
    </row>
    <row r="131" spans="2:11">
      <c r="B131" s="846"/>
      <c r="C131" s="791"/>
      <c r="D131" s="791"/>
      <c r="E131" s="791"/>
      <c r="F131" s="791"/>
      <c r="G131" s="791"/>
      <c r="H131" s="791"/>
      <c r="I131" s="791"/>
      <c r="J131" s="791"/>
      <c r="K131" s="791"/>
    </row>
    <row r="132" spans="2:11">
      <c r="B132" s="846"/>
      <c r="C132" s="791"/>
      <c r="D132" s="791"/>
      <c r="E132" s="791"/>
      <c r="F132" s="791"/>
      <c r="G132" s="791"/>
      <c r="H132" s="791"/>
      <c r="I132" s="791"/>
      <c r="J132" s="791"/>
      <c r="K132" s="791"/>
    </row>
    <row r="133" spans="2:11">
      <c r="B133" s="846"/>
      <c r="C133" s="791"/>
      <c r="D133" s="791"/>
      <c r="E133" s="791"/>
      <c r="F133" s="791"/>
      <c r="G133" s="791"/>
      <c r="H133" s="791"/>
      <c r="I133" s="791"/>
      <c r="J133" s="791"/>
      <c r="K133" s="791"/>
    </row>
    <row r="134" spans="2:11">
      <c r="B134" s="846"/>
      <c r="C134" s="791"/>
      <c r="D134" s="791"/>
      <c r="E134" s="791"/>
      <c r="F134" s="791"/>
      <c r="G134" s="791"/>
      <c r="H134" s="791"/>
      <c r="I134" s="791"/>
      <c r="J134" s="791"/>
      <c r="K134" s="791"/>
    </row>
    <row r="135" spans="2:11">
      <c r="B135" s="846"/>
      <c r="C135" s="791"/>
      <c r="D135" s="791"/>
      <c r="E135" s="791"/>
      <c r="F135" s="791"/>
      <c r="G135" s="791"/>
      <c r="H135" s="791"/>
      <c r="I135" s="791"/>
      <c r="J135" s="791"/>
      <c r="K135" s="791"/>
    </row>
    <row r="136" spans="2:11">
      <c r="B136" s="846"/>
      <c r="C136" s="791"/>
      <c r="D136" s="791"/>
      <c r="E136" s="791"/>
      <c r="F136" s="791"/>
      <c r="G136" s="791"/>
      <c r="H136" s="791"/>
      <c r="I136" s="791"/>
      <c r="J136" s="791"/>
      <c r="K136" s="791"/>
    </row>
    <row r="137" spans="2:11">
      <c r="B137" s="846"/>
      <c r="C137" s="791"/>
      <c r="D137" s="791"/>
      <c r="E137" s="791"/>
      <c r="F137" s="791"/>
      <c r="G137" s="791"/>
      <c r="H137" s="791"/>
      <c r="I137" s="791"/>
      <c r="J137" s="791"/>
      <c r="K137" s="791"/>
    </row>
    <row r="138" spans="2:11">
      <c r="B138" s="846"/>
      <c r="C138" s="791"/>
      <c r="D138" s="791"/>
      <c r="E138" s="791"/>
      <c r="F138" s="791"/>
      <c r="G138" s="791"/>
      <c r="H138" s="791"/>
      <c r="I138" s="791"/>
      <c r="J138" s="791"/>
      <c r="K138" s="791"/>
    </row>
    <row r="139" spans="2:11">
      <c r="B139" s="846"/>
      <c r="C139" s="791"/>
      <c r="D139" s="791"/>
      <c r="E139" s="791"/>
      <c r="F139" s="791"/>
      <c r="G139" s="791"/>
      <c r="H139" s="791"/>
      <c r="I139" s="791"/>
      <c r="J139" s="791"/>
      <c r="K139" s="791"/>
    </row>
    <row r="140" spans="2:11">
      <c r="B140" s="846"/>
      <c r="C140" s="791"/>
      <c r="D140" s="791"/>
      <c r="E140" s="791"/>
      <c r="F140" s="791"/>
      <c r="G140" s="791"/>
      <c r="H140" s="791"/>
      <c r="I140" s="791"/>
      <c r="J140" s="791"/>
      <c r="K140" s="791"/>
    </row>
    <row r="141" spans="2:11">
      <c r="B141" s="846"/>
      <c r="C141" s="791"/>
      <c r="D141" s="791"/>
      <c r="E141" s="791"/>
      <c r="F141" s="791"/>
      <c r="G141" s="791"/>
      <c r="H141" s="791"/>
      <c r="I141" s="791"/>
      <c r="J141" s="791"/>
      <c r="K141" s="791"/>
    </row>
    <row r="142" spans="2:11">
      <c r="B142" s="846"/>
      <c r="C142" s="791"/>
      <c r="D142" s="791"/>
      <c r="E142" s="791"/>
      <c r="F142" s="791"/>
      <c r="G142" s="791"/>
      <c r="H142" s="791"/>
      <c r="I142" s="791"/>
      <c r="J142" s="791"/>
      <c r="K142" s="791"/>
    </row>
    <row r="143" spans="2:11">
      <c r="B143" s="846"/>
      <c r="C143" s="791"/>
      <c r="D143" s="791"/>
      <c r="E143" s="791"/>
      <c r="F143" s="791"/>
      <c r="G143" s="791"/>
      <c r="H143" s="791"/>
      <c r="I143" s="791"/>
      <c r="J143" s="791"/>
      <c r="K143" s="791"/>
    </row>
    <row r="144" spans="2:11">
      <c r="B144" s="846"/>
      <c r="C144" s="791"/>
      <c r="D144" s="791"/>
      <c r="E144" s="791"/>
      <c r="F144" s="791"/>
      <c r="G144" s="791"/>
      <c r="H144" s="791"/>
      <c r="I144" s="791"/>
      <c r="J144" s="791"/>
      <c r="K144" s="791"/>
    </row>
    <row r="145" spans="2:11">
      <c r="B145" s="846"/>
      <c r="C145" s="791"/>
      <c r="D145" s="791"/>
      <c r="E145" s="791"/>
      <c r="F145" s="791"/>
      <c r="G145" s="791"/>
      <c r="H145" s="791"/>
      <c r="I145" s="791"/>
      <c r="J145" s="791"/>
      <c r="K145" s="791"/>
    </row>
    <row r="146" spans="2:11">
      <c r="B146" s="846"/>
      <c r="C146" s="791"/>
      <c r="D146" s="791"/>
      <c r="E146" s="791"/>
      <c r="F146" s="791"/>
      <c r="G146" s="791"/>
      <c r="H146" s="791"/>
      <c r="I146" s="791"/>
      <c r="J146" s="791"/>
      <c r="K146" s="791"/>
    </row>
    <row r="147" spans="2:11">
      <c r="B147" s="846"/>
      <c r="C147" s="791"/>
      <c r="D147" s="791"/>
      <c r="E147" s="791"/>
      <c r="F147" s="791"/>
      <c r="G147" s="791"/>
      <c r="H147" s="791"/>
      <c r="I147" s="791"/>
      <c r="J147" s="791"/>
      <c r="K147" s="791"/>
    </row>
    <row r="148" spans="2:11">
      <c r="B148" s="846"/>
      <c r="C148" s="791"/>
      <c r="D148" s="791"/>
      <c r="E148" s="791"/>
      <c r="F148" s="791"/>
      <c r="G148" s="791"/>
      <c r="H148" s="791"/>
      <c r="I148" s="791"/>
      <c r="J148" s="791"/>
      <c r="K148" s="791"/>
    </row>
    <row r="149" spans="2:11">
      <c r="B149" s="846"/>
      <c r="C149" s="791"/>
      <c r="D149" s="791"/>
      <c r="E149" s="791"/>
      <c r="F149" s="791"/>
      <c r="G149" s="791"/>
      <c r="H149" s="791"/>
      <c r="I149" s="791"/>
      <c r="J149" s="791"/>
      <c r="K149" s="791"/>
    </row>
    <row r="150" spans="2:11">
      <c r="B150" s="846"/>
      <c r="C150" s="791"/>
      <c r="D150" s="791"/>
      <c r="E150" s="791"/>
      <c r="F150" s="791"/>
      <c r="G150" s="791"/>
      <c r="H150" s="791"/>
      <c r="I150" s="791"/>
      <c r="J150" s="791"/>
      <c r="K150" s="791"/>
    </row>
    <row r="151" spans="2:11">
      <c r="B151" s="846"/>
      <c r="C151" s="791"/>
      <c r="D151" s="791"/>
      <c r="E151" s="791"/>
      <c r="F151" s="791"/>
      <c r="G151" s="791"/>
      <c r="H151" s="791"/>
      <c r="I151" s="791"/>
      <c r="J151" s="791"/>
      <c r="K151" s="791"/>
    </row>
    <row r="152" spans="2:11">
      <c r="B152" s="846"/>
      <c r="C152" s="791"/>
      <c r="D152" s="791"/>
      <c r="E152" s="791"/>
      <c r="F152" s="791"/>
      <c r="G152" s="791"/>
      <c r="H152" s="791"/>
      <c r="I152" s="791"/>
      <c r="J152" s="791"/>
      <c r="K152" s="791"/>
    </row>
    <row r="153" spans="2:11">
      <c r="B153" s="846"/>
      <c r="C153" s="791"/>
      <c r="D153" s="791"/>
      <c r="E153" s="791"/>
      <c r="F153" s="791"/>
      <c r="G153" s="791"/>
      <c r="H153" s="791"/>
      <c r="I153" s="791"/>
      <c r="J153" s="791"/>
      <c r="K153" s="791"/>
    </row>
    <row r="154" spans="2:11">
      <c r="B154" s="846"/>
      <c r="C154" s="791"/>
      <c r="D154" s="791"/>
      <c r="E154" s="791"/>
      <c r="F154" s="791"/>
      <c r="G154" s="791"/>
      <c r="H154" s="791"/>
      <c r="I154" s="791"/>
      <c r="J154" s="791"/>
      <c r="K154" s="791"/>
    </row>
    <row r="155" spans="2:11">
      <c r="B155" s="846"/>
      <c r="C155" s="791"/>
      <c r="D155" s="791"/>
      <c r="E155" s="791"/>
      <c r="F155" s="791"/>
      <c r="G155" s="791"/>
      <c r="H155" s="791"/>
      <c r="I155" s="791"/>
      <c r="J155" s="791"/>
      <c r="K155" s="791"/>
    </row>
    <row r="156" spans="2:11">
      <c r="B156" s="846"/>
      <c r="C156" s="791"/>
      <c r="D156" s="791"/>
      <c r="E156" s="791"/>
      <c r="F156" s="791"/>
      <c r="G156" s="791"/>
      <c r="H156" s="791"/>
      <c r="I156" s="791"/>
      <c r="J156" s="791"/>
      <c r="K156" s="791"/>
    </row>
    <row r="157" spans="2:11">
      <c r="B157" s="846"/>
      <c r="C157" s="791"/>
      <c r="D157" s="791"/>
      <c r="E157" s="791"/>
      <c r="F157" s="791"/>
      <c r="G157" s="791"/>
      <c r="H157" s="791"/>
      <c r="I157" s="791"/>
      <c r="J157" s="791"/>
      <c r="K157" s="791"/>
    </row>
    <row r="158" spans="2:11">
      <c r="B158" s="846"/>
      <c r="C158" s="791"/>
      <c r="D158" s="791"/>
      <c r="E158" s="791"/>
      <c r="F158" s="791"/>
      <c r="G158" s="791"/>
      <c r="H158" s="791"/>
      <c r="I158" s="791"/>
      <c r="J158" s="791"/>
      <c r="K158" s="791"/>
    </row>
    <row r="159" spans="2:11">
      <c r="B159" s="846"/>
      <c r="C159" s="791"/>
      <c r="D159" s="791"/>
      <c r="E159" s="791"/>
      <c r="F159" s="791"/>
      <c r="G159" s="791"/>
      <c r="H159" s="791"/>
      <c r="I159" s="791"/>
      <c r="J159" s="791"/>
      <c r="K159" s="791"/>
    </row>
    <row r="160" spans="2:11">
      <c r="B160" s="846"/>
      <c r="C160" s="791"/>
      <c r="D160" s="791"/>
      <c r="E160" s="791"/>
      <c r="F160" s="791"/>
      <c r="G160" s="791"/>
      <c r="H160" s="791"/>
      <c r="I160" s="791"/>
      <c r="J160" s="791"/>
      <c r="K160" s="791"/>
    </row>
    <row r="161" spans="2:11">
      <c r="B161" s="846"/>
      <c r="C161" s="791"/>
      <c r="D161" s="791"/>
      <c r="E161" s="791"/>
      <c r="F161" s="791"/>
      <c r="G161" s="791"/>
      <c r="H161" s="791"/>
      <c r="I161" s="791"/>
      <c r="J161" s="791"/>
      <c r="K161" s="791"/>
    </row>
    <row r="162" spans="2:11">
      <c r="B162" s="846"/>
      <c r="C162" s="791"/>
      <c r="D162" s="791"/>
      <c r="E162" s="791"/>
      <c r="F162" s="791"/>
      <c r="G162" s="791"/>
      <c r="H162" s="791"/>
      <c r="I162" s="791"/>
      <c r="J162" s="791"/>
      <c r="K162" s="791"/>
    </row>
    <row r="163" spans="2:11">
      <c r="B163" s="846"/>
      <c r="C163" s="791"/>
      <c r="D163" s="791"/>
      <c r="E163" s="791"/>
      <c r="F163" s="791"/>
      <c r="G163" s="791"/>
      <c r="H163" s="791"/>
      <c r="I163" s="791"/>
      <c r="J163" s="791"/>
      <c r="K163" s="791"/>
    </row>
    <row r="164" spans="2:11">
      <c r="B164" s="846"/>
      <c r="C164" s="791"/>
      <c r="D164" s="791"/>
      <c r="E164" s="791"/>
      <c r="F164" s="791"/>
      <c r="G164" s="791"/>
      <c r="H164" s="791"/>
      <c r="I164" s="791"/>
      <c r="J164" s="791"/>
      <c r="K164" s="791"/>
    </row>
    <row r="165" spans="2:11">
      <c r="B165" s="846"/>
      <c r="C165" s="791"/>
      <c r="D165" s="791"/>
      <c r="E165" s="791"/>
      <c r="F165" s="791"/>
      <c r="G165" s="791"/>
      <c r="H165" s="791"/>
      <c r="I165" s="791"/>
      <c r="J165" s="791"/>
      <c r="K165" s="791"/>
    </row>
    <row r="166" spans="2:11">
      <c r="B166" s="846"/>
      <c r="C166" s="791"/>
      <c r="D166" s="791"/>
      <c r="E166" s="791"/>
      <c r="F166" s="791"/>
      <c r="G166" s="791"/>
      <c r="H166" s="791"/>
      <c r="I166" s="791"/>
      <c r="J166" s="791"/>
      <c r="K166" s="791"/>
    </row>
    <row r="167" spans="2:11">
      <c r="B167" s="846"/>
      <c r="C167" s="791"/>
      <c r="D167" s="791"/>
      <c r="E167" s="791"/>
      <c r="F167" s="791"/>
      <c r="G167" s="791"/>
      <c r="H167" s="791"/>
      <c r="I167" s="791"/>
      <c r="J167" s="791"/>
      <c r="K167" s="791"/>
    </row>
    <row r="168" spans="2:11">
      <c r="B168" s="846"/>
      <c r="C168" s="791"/>
      <c r="D168" s="791"/>
      <c r="E168" s="791"/>
      <c r="F168" s="791"/>
      <c r="G168" s="791"/>
      <c r="H168" s="791"/>
      <c r="I168" s="791"/>
      <c r="J168" s="791"/>
      <c r="K168" s="791"/>
    </row>
    <row r="169" spans="2:11">
      <c r="B169" s="846"/>
      <c r="C169" s="791"/>
      <c r="D169" s="791"/>
      <c r="E169" s="791"/>
      <c r="F169" s="791"/>
      <c r="G169" s="791"/>
      <c r="H169" s="791"/>
      <c r="I169" s="791"/>
      <c r="J169" s="791"/>
      <c r="K169" s="791"/>
    </row>
    <row r="170" spans="2:11">
      <c r="B170" s="846"/>
      <c r="C170" s="791"/>
      <c r="D170" s="791"/>
      <c r="E170" s="791"/>
      <c r="F170" s="791"/>
      <c r="G170" s="791"/>
      <c r="H170" s="791"/>
      <c r="I170" s="791"/>
      <c r="J170" s="791"/>
      <c r="K170" s="791"/>
    </row>
    <row r="171" spans="2:11">
      <c r="B171" s="846"/>
      <c r="C171" s="791"/>
      <c r="D171" s="791"/>
      <c r="E171" s="791"/>
      <c r="F171" s="791"/>
      <c r="G171" s="791"/>
      <c r="H171" s="791"/>
      <c r="I171" s="791"/>
      <c r="J171" s="791"/>
      <c r="K171" s="791"/>
    </row>
    <row r="172" spans="2:11">
      <c r="B172" s="846"/>
      <c r="C172" s="791"/>
      <c r="D172" s="791"/>
      <c r="E172" s="791"/>
      <c r="F172" s="791"/>
      <c r="G172" s="791"/>
      <c r="H172" s="791"/>
      <c r="I172" s="791"/>
      <c r="J172" s="791"/>
      <c r="K172" s="791"/>
    </row>
    <row r="173" spans="2:11">
      <c r="B173" s="846"/>
      <c r="C173" s="791"/>
      <c r="D173" s="791"/>
      <c r="E173" s="791"/>
      <c r="F173" s="791"/>
      <c r="G173" s="791"/>
      <c r="H173" s="791"/>
      <c r="I173" s="791"/>
      <c r="J173" s="791"/>
      <c r="K173" s="791"/>
    </row>
    <row r="174" spans="2:11">
      <c r="B174" s="846"/>
      <c r="C174" s="791"/>
      <c r="D174" s="791"/>
      <c r="E174" s="791"/>
      <c r="F174" s="791"/>
      <c r="G174" s="791"/>
      <c r="H174" s="791"/>
      <c r="I174" s="791"/>
      <c r="J174" s="791"/>
      <c r="K174" s="791"/>
    </row>
    <row r="175" spans="2:11">
      <c r="B175" s="846"/>
      <c r="C175" s="791"/>
      <c r="D175" s="791"/>
      <c r="E175" s="791"/>
      <c r="F175" s="791"/>
      <c r="G175" s="791"/>
      <c r="H175" s="791"/>
      <c r="I175" s="791"/>
      <c r="J175" s="791"/>
      <c r="K175" s="791"/>
    </row>
    <row r="176" spans="2:11">
      <c r="B176" s="846"/>
      <c r="C176" s="791"/>
      <c r="D176" s="791"/>
      <c r="E176" s="791"/>
      <c r="F176" s="791"/>
      <c r="G176" s="791"/>
      <c r="H176" s="791"/>
      <c r="I176" s="791"/>
      <c r="J176" s="791"/>
      <c r="K176" s="791"/>
    </row>
    <row r="177" spans="2:11">
      <c r="B177" s="846"/>
      <c r="C177" s="791"/>
      <c r="D177" s="791"/>
      <c r="E177" s="791"/>
      <c r="F177" s="791"/>
      <c r="G177" s="791"/>
      <c r="H177" s="791"/>
      <c r="I177" s="791"/>
      <c r="J177" s="791"/>
      <c r="K177" s="791"/>
    </row>
    <row r="178" spans="2:11">
      <c r="B178" s="846"/>
      <c r="C178" s="791"/>
      <c r="D178" s="791"/>
      <c r="E178" s="791"/>
      <c r="F178" s="791"/>
      <c r="G178" s="791"/>
      <c r="H178" s="791"/>
      <c r="I178" s="791"/>
      <c r="J178" s="791"/>
      <c r="K178" s="791"/>
    </row>
    <row r="179" spans="2:11">
      <c r="B179" s="846"/>
      <c r="C179" s="791"/>
      <c r="D179" s="791"/>
      <c r="E179" s="791"/>
      <c r="F179" s="791"/>
      <c r="G179" s="791"/>
      <c r="H179" s="791"/>
      <c r="I179" s="791"/>
      <c r="J179" s="791"/>
      <c r="K179" s="791"/>
    </row>
    <row r="180" spans="2:11">
      <c r="B180" s="846"/>
      <c r="C180" s="791"/>
      <c r="D180" s="791"/>
      <c r="E180" s="791"/>
      <c r="F180" s="791"/>
      <c r="G180" s="791"/>
      <c r="H180" s="791"/>
      <c r="I180" s="791"/>
      <c r="J180" s="791"/>
      <c r="K180" s="791"/>
    </row>
    <row r="181" spans="2:11">
      <c r="B181" s="846"/>
      <c r="C181" s="791"/>
      <c r="D181" s="791"/>
      <c r="E181" s="791"/>
      <c r="F181" s="791"/>
      <c r="G181" s="791"/>
      <c r="H181" s="791"/>
      <c r="I181" s="791"/>
      <c r="J181" s="791"/>
      <c r="K181" s="791"/>
    </row>
    <row r="182" spans="2:11">
      <c r="B182" s="846"/>
      <c r="C182" s="791"/>
      <c r="D182" s="791"/>
      <c r="E182" s="791"/>
      <c r="F182" s="791"/>
      <c r="G182" s="791"/>
      <c r="H182" s="791"/>
      <c r="I182" s="791"/>
      <c r="J182" s="791"/>
      <c r="K182" s="791"/>
    </row>
    <row r="183" spans="2:11">
      <c r="B183" s="846"/>
      <c r="C183" s="791"/>
      <c r="D183" s="791"/>
      <c r="E183" s="791"/>
      <c r="F183" s="791"/>
      <c r="G183" s="791"/>
      <c r="H183" s="791"/>
      <c r="I183" s="791"/>
      <c r="J183" s="791"/>
      <c r="K183" s="791"/>
    </row>
    <row r="184" spans="2:11">
      <c r="B184" s="846"/>
      <c r="C184" s="791"/>
      <c r="D184" s="791"/>
      <c r="E184" s="791"/>
      <c r="F184" s="791"/>
      <c r="G184" s="791"/>
      <c r="H184" s="791"/>
      <c r="I184" s="791"/>
      <c r="J184" s="791"/>
      <c r="K184" s="791"/>
    </row>
    <row r="185" spans="2:11">
      <c r="B185" s="846"/>
      <c r="C185" s="791"/>
      <c r="D185" s="791"/>
      <c r="E185" s="791"/>
      <c r="F185" s="791"/>
      <c r="G185" s="791"/>
      <c r="H185" s="791"/>
      <c r="I185" s="791"/>
      <c r="J185" s="791"/>
      <c r="K185" s="791"/>
    </row>
    <row r="186" spans="2:11">
      <c r="B186" s="846"/>
      <c r="C186" s="791"/>
      <c r="D186" s="791"/>
      <c r="E186" s="791"/>
      <c r="F186" s="791"/>
      <c r="G186" s="791"/>
      <c r="H186" s="791"/>
      <c r="I186" s="791"/>
      <c r="J186" s="791"/>
      <c r="K186" s="791"/>
    </row>
    <row r="187" spans="2:11">
      <c r="B187" s="846"/>
      <c r="C187" s="791"/>
      <c r="D187" s="791"/>
      <c r="E187" s="791"/>
      <c r="F187" s="791"/>
      <c r="G187" s="791"/>
      <c r="H187" s="791"/>
      <c r="I187" s="791"/>
      <c r="J187" s="791"/>
      <c r="K187" s="791"/>
    </row>
    <row r="188" spans="2:11">
      <c r="B188" s="846"/>
      <c r="C188" s="791"/>
      <c r="D188" s="791"/>
      <c r="E188" s="791"/>
      <c r="F188" s="791"/>
      <c r="G188" s="791"/>
      <c r="H188" s="791"/>
      <c r="I188" s="791"/>
      <c r="J188" s="791"/>
      <c r="K188" s="791"/>
    </row>
    <row r="189" spans="2:11">
      <c r="B189" s="846"/>
      <c r="C189" s="791"/>
      <c r="D189" s="791"/>
      <c r="E189" s="791"/>
      <c r="F189" s="791"/>
      <c r="G189" s="791"/>
      <c r="H189" s="791"/>
      <c r="I189" s="791"/>
      <c r="J189" s="791"/>
      <c r="K189" s="791"/>
    </row>
    <row r="190" spans="2:11">
      <c r="B190" s="846"/>
      <c r="C190" s="791"/>
      <c r="D190" s="791"/>
      <c r="E190" s="791"/>
      <c r="F190" s="791"/>
      <c r="G190" s="791"/>
      <c r="H190" s="791"/>
      <c r="I190" s="791"/>
      <c r="J190" s="791"/>
      <c r="K190" s="791"/>
    </row>
    <row r="191" spans="2:11">
      <c r="B191" s="846"/>
      <c r="C191" s="791"/>
      <c r="D191" s="791"/>
      <c r="E191" s="791"/>
      <c r="F191" s="791"/>
      <c r="G191" s="791"/>
      <c r="H191" s="791"/>
      <c r="I191" s="791"/>
      <c r="J191" s="791"/>
      <c r="K191" s="791"/>
    </row>
    <row r="192" spans="2:11">
      <c r="B192" s="846"/>
      <c r="C192" s="791"/>
      <c r="D192" s="791"/>
      <c r="E192" s="791"/>
      <c r="F192" s="791"/>
      <c r="G192" s="791"/>
      <c r="H192" s="791"/>
      <c r="I192" s="791"/>
      <c r="J192" s="791"/>
      <c r="K192" s="791"/>
    </row>
    <row r="193" spans="2:11">
      <c r="B193" s="846"/>
      <c r="C193" s="791"/>
      <c r="D193" s="791"/>
      <c r="E193" s="791"/>
      <c r="F193" s="791"/>
      <c r="G193" s="791"/>
      <c r="H193" s="791"/>
      <c r="I193" s="791"/>
      <c r="J193" s="791"/>
      <c r="K193" s="791"/>
    </row>
    <row r="194" spans="2:11">
      <c r="B194" s="846"/>
      <c r="C194" s="791"/>
      <c r="D194" s="791"/>
      <c r="E194" s="791"/>
      <c r="F194" s="791"/>
      <c r="G194" s="791"/>
      <c r="H194" s="791"/>
      <c r="I194" s="791"/>
      <c r="J194" s="791"/>
      <c r="K194" s="791"/>
    </row>
    <row r="195" spans="2:11">
      <c r="B195" s="846"/>
      <c r="C195" s="791"/>
      <c r="D195" s="791"/>
      <c r="E195" s="791"/>
      <c r="F195" s="791"/>
      <c r="G195" s="791"/>
      <c r="H195" s="791"/>
      <c r="I195" s="791"/>
      <c r="J195" s="791"/>
      <c r="K195" s="791"/>
    </row>
    <row r="196" spans="2:11">
      <c r="B196" s="846"/>
      <c r="C196" s="791"/>
      <c r="D196" s="791"/>
      <c r="E196" s="791"/>
      <c r="F196" s="791"/>
      <c r="G196" s="791"/>
      <c r="H196" s="791"/>
      <c r="I196" s="791"/>
      <c r="J196" s="791"/>
      <c r="K196" s="791"/>
    </row>
    <row r="197" spans="2:11">
      <c r="B197" s="846"/>
      <c r="C197" s="791"/>
      <c r="D197" s="791"/>
      <c r="E197" s="791"/>
      <c r="F197" s="791"/>
      <c r="G197" s="791"/>
      <c r="H197" s="791"/>
      <c r="I197" s="791"/>
      <c r="J197" s="791"/>
      <c r="K197" s="791"/>
    </row>
    <row r="198" spans="2:11">
      <c r="B198" s="846"/>
      <c r="C198" s="791"/>
      <c r="D198" s="791"/>
      <c r="E198" s="791"/>
      <c r="F198" s="791"/>
      <c r="G198" s="791"/>
      <c r="H198" s="791"/>
      <c r="I198" s="791"/>
      <c r="J198" s="791"/>
      <c r="K198" s="791"/>
    </row>
    <row r="199" spans="2:11">
      <c r="B199" s="846"/>
      <c r="C199" s="791"/>
      <c r="D199" s="791"/>
      <c r="E199" s="791"/>
      <c r="F199" s="791"/>
      <c r="G199" s="791"/>
      <c r="H199" s="791"/>
      <c r="I199" s="791"/>
      <c r="J199" s="791"/>
      <c r="K199" s="791"/>
    </row>
    <row r="200" spans="2:11">
      <c r="B200" s="846"/>
      <c r="C200" s="791"/>
      <c r="D200" s="791"/>
      <c r="E200" s="791"/>
      <c r="F200" s="791"/>
      <c r="G200" s="791"/>
      <c r="H200" s="791"/>
      <c r="I200" s="791"/>
      <c r="J200" s="791"/>
      <c r="K200" s="791"/>
    </row>
    <row r="201" spans="2:11">
      <c r="B201" s="846"/>
      <c r="C201" s="791"/>
      <c r="D201" s="791"/>
      <c r="E201" s="791"/>
      <c r="F201" s="791"/>
      <c r="G201" s="791"/>
      <c r="H201" s="791"/>
      <c r="I201" s="791"/>
      <c r="J201" s="791"/>
      <c r="K201" s="791"/>
    </row>
    <row r="202" spans="2:11">
      <c r="B202" s="846"/>
      <c r="C202" s="791"/>
      <c r="D202" s="791"/>
      <c r="E202" s="791"/>
      <c r="F202" s="791"/>
      <c r="G202" s="791"/>
      <c r="H202" s="791"/>
      <c r="I202" s="791"/>
      <c r="J202" s="791"/>
      <c r="K202" s="791"/>
    </row>
    <row r="203" spans="2:11">
      <c r="B203" s="846"/>
      <c r="C203" s="791"/>
      <c r="D203" s="791"/>
      <c r="E203" s="791"/>
      <c r="F203" s="791"/>
      <c r="G203" s="791"/>
      <c r="H203" s="791"/>
      <c r="I203" s="791"/>
      <c r="J203" s="791"/>
      <c r="K203" s="791"/>
    </row>
    <row r="204" spans="2:11">
      <c r="B204" s="846"/>
      <c r="C204" s="791"/>
      <c r="D204" s="791"/>
      <c r="E204" s="791"/>
      <c r="F204" s="791"/>
      <c r="G204" s="791"/>
      <c r="H204" s="791"/>
      <c r="I204" s="791"/>
      <c r="J204" s="791"/>
      <c r="K204" s="791"/>
    </row>
    <row r="205" spans="2:11">
      <c r="B205" s="846"/>
      <c r="C205" s="791"/>
      <c r="D205" s="791"/>
      <c r="E205" s="791"/>
      <c r="F205" s="791"/>
      <c r="G205" s="791"/>
      <c r="H205" s="791"/>
      <c r="I205" s="791"/>
      <c r="J205" s="791"/>
      <c r="K205" s="791"/>
    </row>
    <row r="206" spans="2:11">
      <c r="B206" s="846"/>
      <c r="C206" s="791"/>
      <c r="D206" s="791"/>
      <c r="E206" s="791"/>
      <c r="F206" s="791"/>
      <c r="G206" s="791"/>
      <c r="H206" s="791"/>
      <c r="I206" s="791"/>
      <c r="J206" s="791"/>
      <c r="K206" s="791"/>
    </row>
    <row r="207" spans="2:11">
      <c r="B207" s="846"/>
      <c r="C207" s="791"/>
      <c r="D207" s="791"/>
      <c r="E207" s="791"/>
      <c r="F207" s="791"/>
      <c r="G207" s="791"/>
      <c r="H207" s="791"/>
      <c r="I207" s="791"/>
      <c r="J207" s="791"/>
      <c r="K207" s="791"/>
    </row>
    <row r="208" spans="2:11">
      <c r="B208" s="846"/>
      <c r="C208" s="791"/>
      <c r="D208" s="791"/>
      <c r="E208" s="791"/>
      <c r="F208" s="791"/>
      <c r="G208" s="791"/>
      <c r="H208" s="791"/>
      <c r="I208" s="791"/>
      <c r="J208" s="791"/>
      <c r="K208" s="791"/>
    </row>
    <row r="209" spans="2:11">
      <c r="B209" s="846"/>
      <c r="C209" s="791"/>
      <c r="D209" s="791"/>
      <c r="E209" s="791"/>
      <c r="F209" s="791"/>
      <c r="G209" s="791"/>
      <c r="H209" s="791"/>
      <c r="I209" s="791"/>
      <c r="J209" s="791"/>
      <c r="K209" s="791"/>
    </row>
    <row r="210" spans="2:11">
      <c r="B210" s="846"/>
      <c r="C210" s="791"/>
      <c r="D210" s="791"/>
      <c r="E210" s="791"/>
      <c r="F210" s="791"/>
      <c r="G210" s="791"/>
      <c r="H210" s="791"/>
      <c r="I210" s="791"/>
      <c r="J210" s="791"/>
      <c r="K210" s="791"/>
    </row>
    <row r="211" spans="2:11" ht="14.25" customHeight="1">
      <c r="B211" s="846"/>
      <c r="C211" s="791"/>
      <c r="D211" s="791"/>
      <c r="E211" s="791"/>
      <c r="F211" s="791"/>
      <c r="G211" s="791"/>
      <c r="H211" s="791"/>
      <c r="I211" s="791"/>
      <c r="J211" s="791"/>
      <c r="K211" s="791"/>
    </row>
    <row r="212" spans="2:11" ht="12.75" customHeight="1">
      <c r="B212" s="846"/>
      <c r="C212" s="791"/>
      <c r="D212" s="791"/>
      <c r="E212" s="791"/>
      <c r="F212" s="791"/>
      <c r="G212" s="791"/>
      <c r="H212" s="791"/>
      <c r="I212" s="791"/>
      <c r="J212" s="791"/>
      <c r="K212" s="791"/>
    </row>
    <row r="213" spans="2:11" ht="12.75" customHeight="1">
      <c r="B213" s="846"/>
      <c r="C213" s="791"/>
      <c r="D213" s="791"/>
      <c r="E213" s="791"/>
      <c r="F213" s="791"/>
      <c r="G213" s="791"/>
      <c r="H213" s="791"/>
      <c r="I213" s="791"/>
      <c r="J213" s="791"/>
      <c r="K213" s="791"/>
    </row>
    <row r="214" spans="2:11" ht="12.75" customHeight="1">
      <c r="B214" s="846"/>
      <c r="C214" s="791"/>
      <c r="D214" s="791"/>
      <c r="E214" s="791"/>
      <c r="F214" s="791"/>
      <c r="G214" s="791"/>
      <c r="H214" s="791"/>
      <c r="I214" s="791"/>
      <c r="J214" s="791"/>
      <c r="K214" s="791"/>
    </row>
    <row r="215" spans="2:11" ht="12.75" customHeight="1">
      <c r="B215" s="846"/>
      <c r="C215" s="791"/>
      <c r="D215" s="791"/>
      <c r="E215" s="791"/>
      <c r="F215" s="791"/>
      <c r="G215" s="791"/>
      <c r="H215" s="791"/>
      <c r="I215" s="791"/>
      <c r="J215" s="791"/>
      <c r="K215" s="791"/>
    </row>
    <row r="216" spans="2:11" ht="12.75" customHeight="1">
      <c r="B216" s="846"/>
      <c r="C216" s="791"/>
      <c r="D216" s="791"/>
      <c r="E216" s="791"/>
      <c r="F216" s="791"/>
      <c r="G216" s="791"/>
      <c r="H216" s="791"/>
      <c r="I216" s="791"/>
      <c r="J216" s="791"/>
      <c r="K216" s="791"/>
    </row>
    <row r="217" spans="2:11" ht="12.75" customHeight="1">
      <c r="B217" s="846"/>
      <c r="C217" s="791"/>
      <c r="D217" s="791"/>
      <c r="E217" s="791"/>
      <c r="F217" s="791"/>
      <c r="G217" s="791"/>
      <c r="H217" s="791"/>
      <c r="I217" s="791"/>
      <c r="J217" s="791"/>
      <c r="K217" s="791"/>
    </row>
    <row r="218" spans="2:11" ht="12.75" customHeight="1">
      <c r="B218" s="846"/>
      <c r="C218" s="791"/>
      <c r="D218" s="791"/>
      <c r="E218" s="791"/>
      <c r="F218" s="791"/>
      <c r="G218" s="791"/>
      <c r="H218" s="791"/>
      <c r="I218" s="791"/>
      <c r="J218" s="791"/>
      <c r="K218" s="791"/>
    </row>
    <row r="219" spans="2:11" ht="12.75" customHeight="1">
      <c r="B219" s="846"/>
      <c r="C219" s="791"/>
      <c r="D219" s="791"/>
      <c r="E219" s="791"/>
      <c r="F219" s="791"/>
      <c r="G219" s="791"/>
      <c r="H219" s="791"/>
      <c r="I219" s="791"/>
      <c r="J219" s="791"/>
      <c r="K219" s="791"/>
    </row>
    <row r="220" spans="2:11" ht="12.75" customHeight="1">
      <c r="B220" s="846"/>
      <c r="C220" s="791"/>
      <c r="D220" s="791"/>
      <c r="E220" s="791"/>
      <c r="F220" s="791"/>
      <c r="G220" s="791"/>
      <c r="H220" s="791"/>
      <c r="I220" s="791"/>
      <c r="J220" s="791"/>
      <c r="K220" s="791"/>
    </row>
    <row r="221" spans="2:11" ht="12.75" customHeight="1">
      <c r="B221" s="846"/>
      <c r="C221" s="791"/>
      <c r="D221" s="791"/>
      <c r="E221" s="791"/>
      <c r="F221" s="791"/>
      <c r="G221" s="791"/>
      <c r="H221" s="791"/>
      <c r="I221" s="791"/>
      <c r="J221" s="791"/>
      <c r="K221" s="791"/>
    </row>
    <row r="222" spans="2:11" ht="12.75" customHeight="1">
      <c r="B222" s="846"/>
      <c r="C222" s="791"/>
      <c r="D222" s="791"/>
      <c r="E222" s="791"/>
      <c r="F222" s="791"/>
      <c r="G222" s="791"/>
      <c r="H222" s="791"/>
      <c r="I222" s="791"/>
      <c r="J222" s="791"/>
      <c r="K222" s="791"/>
    </row>
    <row r="223" spans="2:11" ht="12.75" customHeight="1">
      <c r="B223" s="846"/>
      <c r="C223" s="791"/>
      <c r="D223" s="791"/>
      <c r="E223" s="791"/>
      <c r="F223" s="791"/>
      <c r="G223" s="791"/>
      <c r="H223" s="791"/>
      <c r="I223" s="791"/>
      <c r="J223" s="791"/>
      <c r="K223" s="791"/>
    </row>
    <row r="224" spans="2:11" ht="12.75" customHeight="1">
      <c r="B224" s="846"/>
      <c r="C224" s="791"/>
      <c r="D224" s="791"/>
      <c r="E224" s="791"/>
      <c r="F224" s="791"/>
      <c r="G224" s="791"/>
      <c r="H224" s="791"/>
      <c r="I224" s="791"/>
      <c r="J224" s="791"/>
      <c r="K224" s="791"/>
    </row>
    <row r="225" spans="2:11" ht="12.75" customHeight="1">
      <c r="B225" s="846"/>
      <c r="C225" s="791"/>
      <c r="D225" s="791"/>
      <c r="E225" s="791"/>
      <c r="F225" s="791"/>
      <c r="G225" s="791"/>
      <c r="H225" s="791"/>
      <c r="I225" s="791"/>
      <c r="J225" s="791"/>
      <c r="K225" s="791"/>
    </row>
    <row r="226" spans="2:11" ht="12.75" customHeight="1">
      <c r="B226" s="846"/>
      <c r="C226" s="791"/>
      <c r="D226" s="791"/>
      <c r="E226" s="791"/>
      <c r="F226" s="791"/>
      <c r="G226" s="791"/>
      <c r="H226" s="791"/>
      <c r="I226" s="791"/>
      <c r="J226" s="791"/>
      <c r="K226" s="791"/>
    </row>
    <row r="227" spans="2:11">
      <c r="B227" s="846"/>
      <c r="C227" s="791"/>
      <c r="D227" s="791"/>
      <c r="E227" s="791"/>
      <c r="F227" s="791"/>
      <c r="G227" s="791"/>
      <c r="H227" s="791"/>
      <c r="I227" s="791"/>
      <c r="J227" s="791"/>
      <c r="K227" s="791"/>
    </row>
    <row r="228" spans="2:11">
      <c r="B228" s="846"/>
      <c r="C228" s="791"/>
      <c r="D228" s="791"/>
      <c r="E228" s="791"/>
      <c r="F228" s="791"/>
      <c r="G228" s="791"/>
      <c r="H228" s="791"/>
      <c r="I228" s="791"/>
      <c r="J228" s="791"/>
      <c r="K228" s="791"/>
    </row>
    <row r="229" spans="2:11">
      <c r="B229" s="846"/>
      <c r="C229" s="791"/>
      <c r="D229" s="791"/>
      <c r="E229" s="791"/>
      <c r="F229" s="791"/>
      <c r="G229" s="791"/>
      <c r="H229" s="791"/>
      <c r="I229" s="791"/>
      <c r="J229" s="791"/>
      <c r="K229" s="791"/>
    </row>
    <row r="230" spans="2:11">
      <c r="B230" s="846"/>
      <c r="C230" s="791"/>
      <c r="D230" s="791"/>
      <c r="E230" s="791"/>
      <c r="F230" s="791"/>
      <c r="G230" s="791"/>
      <c r="H230" s="791"/>
      <c r="I230" s="791"/>
      <c r="J230" s="791"/>
      <c r="K230" s="791"/>
    </row>
    <row r="231" spans="2:11">
      <c r="B231" s="846"/>
      <c r="C231" s="791"/>
      <c r="D231" s="791"/>
      <c r="E231" s="791"/>
      <c r="F231" s="791"/>
      <c r="G231" s="791"/>
      <c r="H231" s="791"/>
      <c r="I231" s="791"/>
      <c r="J231" s="791"/>
      <c r="K231" s="791"/>
    </row>
    <row r="232" spans="2:11">
      <c r="B232" s="846"/>
      <c r="C232" s="791"/>
      <c r="D232" s="791"/>
      <c r="E232" s="791"/>
      <c r="F232" s="791"/>
      <c r="G232" s="791"/>
      <c r="H232" s="791"/>
      <c r="I232" s="791"/>
      <c r="J232" s="791"/>
      <c r="K232" s="791"/>
    </row>
    <row r="233" spans="2:11">
      <c r="B233" s="846"/>
      <c r="C233" s="791"/>
      <c r="D233" s="791"/>
      <c r="E233" s="791"/>
      <c r="F233" s="791"/>
      <c r="G233" s="791"/>
      <c r="H233" s="791"/>
      <c r="I233" s="791"/>
      <c r="J233" s="791"/>
      <c r="K233" s="791"/>
    </row>
    <row r="234" spans="2:11">
      <c r="B234" s="846"/>
      <c r="C234" s="791"/>
      <c r="D234" s="791"/>
      <c r="E234" s="791"/>
      <c r="F234" s="791"/>
      <c r="G234" s="791"/>
      <c r="H234" s="791"/>
      <c r="I234" s="791"/>
      <c r="J234" s="791"/>
      <c r="K234" s="791"/>
    </row>
    <row r="235" spans="2:11">
      <c r="B235" s="846"/>
      <c r="C235" s="791"/>
      <c r="D235" s="791"/>
      <c r="E235" s="791"/>
      <c r="F235" s="791"/>
      <c r="G235" s="791"/>
      <c r="H235" s="791"/>
      <c r="I235" s="791"/>
      <c r="J235" s="791"/>
      <c r="K235" s="791"/>
    </row>
    <row r="236" spans="2:11">
      <c r="B236" s="846"/>
      <c r="C236" s="791"/>
      <c r="D236" s="791"/>
      <c r="E236" s="791"/>
      <c r="F236" s="791"/>
      <c r="G236" s="791"/>
      <c r="H236" s="791"/>
      <c r="I236" s="791"/>
      <c r="J236" s="791"/>
      <c r="K236" s="791"/>
    </row>
    <row r="237" spans="2:11">
      <c r="B237" s="846"/>
      <c r="C237" s="791"/>
      <c r="D237" s="791"/>
      <c r="E237" s="791"/>
      <c r="F237" s="791"/>
      <c r="G237" s="791"/>
      <c r="H237" s="791"/>
      <c r="I237" s="791"/>
      <c r="J237" s="791"/>
      <c r="K237" s="791"/>
    </row>
    <row r="238" spans="2:11">
      <c r="B238" s="846"/>
      <c r="C238" s="791"/>
      <c r="D238" s="791"/>
      <c r="E238" s="791"/>
      <c r="F238" s="791"/>
      <c r="G238" s="791"/>
      <c r="H238" s="791"/>
      <c r="I238" s="791"/>
      <c r="J238" s="791"/>
      <c r="K238" s="791"/>
    </row>
    <row r="239" spans="2:11">
      <c r="B239" s="846"/>
      <c r="C239" s="791"/>
      <c r="D239" s="791"/>
      <c r="E239" s="791"/>
      <c r="F239" s="791"/>
      <c r="G239" s="791"/>
      <c r="H239" s="791"/>
      <c r="I239" s="791"/>
      <c r="J239" s="791"/>
      <c r="K239" s="791"/>
    </row>
    <row r="240" spans="2:11">
      <c r="B240" s="846"/>
      <c r="C240" s="791"/>
      <c r="D240" s="791"/>
      <c r="E240" s="791"/>
      <c r="F240" s="791"/>
      <c r="G240" s="791"/>
      <c r="H240" s="791"/>
      <c r="I240" s="791"/>
      <c r="J240" s="791"/>
      <c r="K240" s="791"/>
    </row>
    <row r="241" spans="2:11">
      <c r="B241" s="846"/>
      <c r="C241" s="791"/>
      <c r="D241" s="791"/>
      <c r="E241" s="791"/>
      <c r="F241" s="791"/>
      <c r="G241" s="791"/>
      <c r="H241" s="791"/>
      <c r="I241" s="791"/>
      <c r="J241" s="791"/>
      <c r="K241" s="791"/>
    </row>
    <row r="242" spans="2:11">
      <c r="B242" s="846"/>
      <c r="C242" s="791"/>
      <c r="D242" s="791"/>
      <c r="E242" s="791"/>
      <c r="F242" s="791"/>
      <c r="G242" s="791"/>
      <c r="H242" s="791"/>
      <c r="I242" s="791"/>
      <c r="J242" s="791"/>
      <c r="K242" s="791"/>
    </row>
    <row r="243" spans="2:11">
      <c r="B243" s="846"/>
      <c r="C243" s="791"/>
      <c r="D243" s="791"/>
      <c r="E243" s="791"/>
      <c r="F243" s="791"/>
      <c r="G243" s="791"/>
      <c r="H243" s="791"/>
      <c r="I243" s="791"/>
      <c r="J243" s="791"/>
      <c r="K243" s="791"/>
    </row>
    <row r="244" spans="2:11">
      <c r="B244" s="846"/>
      <c r="C244" s="791"/>
      <c r="D244" s="791"/>
      <c r="E244" s="791"/>
      <c r="F244" s="791"/>
      <c r="G244" s="791"/>
      <c r="H244" s="791"/>
      <c r="I244" s="791"/>
      <c r="J244" s="791"/>
      <c r="K244" s="791"/>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2"/>
  <sheetViews>
    <sheetView topLeftCell="A188" zoomScale="81" zoomScaleNormal="81" zoomScaleSheetLayoutView="100" zoomScalePageLayoutView="80" workbookViewId="0">
      <selection activeCell="K115" sqref="K115"/>
    </sheetView>
  </sheetViews>
  <sheetFormatPr defaultColWidth="8.85546875" defaultRowHeight="12.75"/>
  <cols>
    <col min="1" max="2" width="1.7109375" style="791" customWidth="1"/>
    <col min="3" max="3" width="11.5703125" style="791" customWidth="1"/>
    <col min="4" max="4" width="1.7109375" style="1793" customWidth="1"/>
    <col min="5" max="5" width="11" style="791" customWidth="1"/>
    <col min="6" max="6" width="1.5703125" style="791" customWidth="1"/>
    <col min="7" max="7" width="54.7109375" style="791" customWidth="1"/>
    <col min="8" max="8" width="17.28515625" style="1794" bestFit="1" customWidth="1"/>
    <col min="9" max="9" width="12.42578125" style="791" customWidth="1"/>
    <col min="10" max="10" width="15" style="791" bestFit="1" customWidth="1"/>
    <col min="11" max="11" width="14.85546875" style="791" customWidth="1"/>
    <col min="12" max="12" width="14.42578125" style="791" customWidth="1"/>
    <col min="13" max="14" width="13.7109375" style="791" customWidth="1"/>
    <col min="15" max="16384" width="8.85546875" style="791"/>
  </cols>
  <sheetData>
    <row r="1" spans="1:24" ht="15">
      <c r="A1" s="1050"/>
    </row>
    <row r="2" spans="1:24" ht="20.25">
      <c r="A2" s="1053"/>
      <c r="B2" s="1054"/>
      <c r="D2" s="791"/>
      <c r="I2" s="1761"/>
      <c r="J2" s="1761"/>
      <c r="K2" s="1761"/>
      <c r="L2" s="1761"/>
      <c r="M2" s="1761"/>
      <c r="N2" s="1055"/>
    </row>
    <row r="3" spans="1:24" ht="20.25" customHeight="1">
      <c r="A3" s="1055"/>
      <c r="B3" s="1056"/>
      <c r="C3" s="2455" t="str">
        <f>+'SWEPCO TCOS'!F4</f>
        <v xml:space="preserve">AEP West SPP Member Operating Companies </v>
      </c>
      <c r="D3" s="2455"/>
      <c r="E3" s="2455"/>
      <c r="F3" s="2455"/>
      <c r="G3" s="2455"/>
      <c r="H3" s="2455"/>
      <c r="I3" s="2455"/>
      <c r="J3" s="2455"/>
      <c r="K3" s="2455"/>
      <c r="L3" s="2455"/>
      <c r="M3" s="2455"/>
      <c r="N3" s="2455"/>
    </row>
    <row r="4" spans="1:24" ht="20.25" customHeight="1">
      <c r="C4" s="2561" t="str">
        <f>+'SWEPCO TCOS'!F8</f>
        <v>SOUTHWESTERN ELECTRIC POWER COMPANY</v>
      </c>
      <c r="D4" s="2561"/>
      <c r="E4" s="2561"/>
      <c r="F4" s="2561"/>
      <c r="G4" s="2561"/>
      <c r="H4" s="2561"/>
      <c r="I4" s="2561"/>
      <c r="J4" s="2561"/>
      <c r="K4" s="2561"/>
      <c r="L4" s="2561"/>
      <c r="M4" s="2561"/>
      <c r="N4" s="2561"/>
    </row>
    <row r="5" spans="1:24" ht="22.5" customHeight="1">
      <c r="C5" s="2561" t="s">
        <v>886</v>
      </c>
      <c r="D5" s="2561"/>
      <c r="E5" s="2561"/>
      <c r="F5" s="2561"/>
      <c r="G5" s="2561"/>
      <c r="H5" s="2561"/>
      <c r="I5" s="2561"/>
      <c r="J5" s="2561"/>
      <c r="K5" s="2561"/>
      <c r="L5" s="2561"/>
      <c r="M5" s="2561"/>
      <c r="N5" s="2561"/>
    </row>
    <row r="6" spans="1:24" ht="18" customHeight="1">
      <c r="C6" s="2459" t="str">
        <f>"AS OF DECEMBER 31, "&amp;'SWEPCO TCOS'!N2</f>
        <v>AS OF DECEMBER 31, 2018</v>
      </c>
      <c r="D6" s="2459"/>
      <c r="E6" s="2459"/>
      <c r="F6" s="2459"/>
      <c r="G6" s="2459"/>
      <c r="H6" s="2459"/>
      <c r="I6" s="2459"/>
      <c r="J6" s="2459"/>
      <c r="K6" s="2459"/>
      <c r="L6" s="2459"/>
      <c r="M6" s="2459"/>
      <c r="N6" s="2459"/>
    </row>
    <row r="7" spans="1:24">
      <c r="D7" s="791"/>
    </row>
    <row r="8" spans="1:24">
      <c r="D8" s="791"/>
      <c r="J8" s="2457" t="s">
        <v>154</v>
      </c>
      <c r="K8" s="2457"/>
      <c r="L8" s="2457"/>
      <c r="M8" s="2457"/>
      <c r="N8" s="2457"/>
    </row>
    <row r="9" spans="1:24" ht="25.5">
      <c r="C9" s="1057" t="s">
        <v>392</v>
      </c>
      <c r="D9" s="1058"/>
      <c r="E9" s="1057" t="s">
        <v>155</v>
      </c>
      <c r="G9" s="1057" t="s">
        <v>308</v>
      </c>
      <c r="H9" s="1059" t="s">
        <v>318</v>
      </c>
      <c r="I9" s="1060" t="s">
        <v>85</v>
      </c>
      <c r="J9" s="1060" t="s">
        <v>156</v>
      </c>
      <c r="K9" s="1060" t="s">
        <v>157</v>
      </c>
      <c r="L9" s="1057" t="s">
        <v>158</v>
      </c>
      <c r="M9" s="1057" t="s">
        <v>159</v>
      </c>
      <c r="N9" s="1057" t="s">
        <v>302</v>
      </c>
    </row>
    <row r="11" spans="1:24">
      <c r="C11" s="1795" t="s">
        <v>619</v>
      </c>
      <c r="D11" s="1796" t="s">
        <v>339</v>
      </c>
      <c r="E11" s="1795" t="s">
        <v>941</v>
      </c>
      <c r="F11" s="700"/>
      <c r="G11" s="1126" t="s">
        <v>1017</v>
      </c>
      <c r="H11" s="1797">
        <v>-657737865.61000013</v>
      </c>
      <c r="I11" s="1798" t="s">
        <v>160</v>
      </c>
      <c r="J11" s="1799" t="str">
        <f t="shared" ref="J11" si="0">IF(I11="e",H11," ")</f>
        <v xml:space="preserve"> </v>
      </c>
      <c r="K11" s="1776" t="str">
        <f t="shared" ref="K11:K58" si="1">IF($I11="T",$H11," ")</f>
        <v xml:space="preserve"> </v>
      </c>
      <c r="L11" s="1776">
        <f t="shared" ref="L11:L58" si="2">IF($I11="PTD",$H11," ")</f>
        <v>-657737865.61000013</v>
      </c>
      <c r="M11" s="1799" t="str">
        <f t="shared" ref="M11:M58" si="3">IF($I11="T&amp;D",$H11," ")</f>
        <v xml:space="preserve"> </v>
      </c>
      <c r="N11" s="1799" t="str">
        <f t="shared" ref="N11" si="4">IF(I11="Labor",H11," ")</f>
        <v xml:space="preserve"> </v>
      </c>
      <c r="P11" s="700"/>
      <c r="Q11" s="700"/>
      <c r="R11" s="700"/>
      <c r="S11" s="700"/>
      <c r="T11" s="700"/>
      <c r="U11" s="700"/>
      <c r="V11" s="700"/>
      <c r="W11" s="700"/>
      <c r="X11" s="700"/>
    </row>
    <row r="12" spans="1:24">
      <c r="C12" s="1795" t="s">
        <v>619</v>
      </c>
      <c r="D12" s="1796" t="s">
        <v>339</v>
      </c>
      <c r="E12" s="1795" t="s">
        <v>941</v>
      </c>
      <c r="F12" s="700"/>
      <c r="G12" s="1800" t="s">
        <v>1016</v>
      </c>
      <c r="H12" s="1797">
        <v>0</v>
      </c>
      <c r="I12" s="1798" t="s">
        <v>293</v>
      </c>
      <c r="J12" s="1799">
        <f>IF(I12="e",H12," ")</f>
        <v>0</v>
      </c>
      <c r="K12" s="1776" t="str">
        <f t="shared" si="1"/>
        <v xml:space="preserve"> </v>
      </c>
      <c r="L12" s="1776" t="str">
        <f t="shared" si="2"/>
        <v xml:space="preserve"> </v>
      </c>
      <c r="M12" s="1799" t="str">
        <f t="shared" si="3"/>
        <v xml:space="preserve"> </v>
      </c>
      <c r="N12" s="1799" t="str">
        <f>IF(I12="Labor",H12," ")</f>
        <v xml:space="preserve"> </v>
      </c>
      <c r="P12" s="700"/>
      <c r="Q12" s="700"/>
      <c r="R12" s="700"/>
      <c r="S12" s="700"/>
      <c r="T12" s="700"/>
      <c r="U12" s="700"/>
      <c r="V12" s="700"/>
      <c r="W12" s="700"/>
      <c r="X12" s="700"/>
    </row>
    <row r="13" spans="1:24">
      <c r="C13" s="1795" t="s">
        <v>619</v>
      </c>
      <c r="D13" s="1796" t="s">
        <v>339</v>
      </c>
      <c r="E13" s="1795" t="s">
        <v>942</v>
      </c>
      <c r="F13" s="700"/>
      <c r="G13" s="1800" t="s">
        <v>620</v>
      </c>
      <c r="H13" s="1797">
        <v>0</v>
      </c>
      <c r="I13" s="1798" t="s">
        <v>160</v>
      </c>
      <c r="J13" s="1799" t="str">
        <f>IF(I13="e",H13," ")</f>
        <v xml:space="preserve"> </v>
      </c>
      <c r="K13" s="1776" t="str">
        <f t="shared" si="1"/>
        <v xml:space="preserve"> </v>
      </c>
      <c r="L13" s="1776">
        <f t="shared" si="2"/>
        <v>0</v>
      </c>
      <c r="M13" s="1799" t="str">
        <f t="shared" si="3"/>
        <v xml:space="preserve"> </v>
      </c>
      <c r="N13" s="1799" t="str">
        <f>IF(I13="Labor",H13," ")</f>
        <v xml:space="preserve"> </v>
      </c>
      <c r="P13" s="700"/>
      <c r="Q13" s="700"/>
      <c r="R13" s="700"/>
      <c r="S13" s="700"/>
      <c r="T13" s="700"/>
      <c r="U13" s="700"/>
      <c r="V13" s="700"/>
      <c r="W13" s="700"/>
      <c r="X13" s="700"/>
    </row>
    <row r="14" spans="1:24">
      <c r="C14" s="1795" t="s">
        <v>619</v>
      </c>
      <c r="D14" s="1796" t="s">
        <v>339</v>
      </c>
      <c r="E14" s="1795" t="s">
        <v>943</v>
      </c>
      <c r="F14" s="700"/>
      <c r="G14" s="1800" t="s">
        <v>621</v>
      </c>
      <c r="H14" s="1797">
        <v>-763036.47</v>
      </c>
      <c r="I14" s="1798" t="s">
        <v>160</v>
      </c>
      <c r="J14" s="1799" t="str">
        <f t="shared" ref="J14:J43" si="5">IF(I14="e",H14," ")</f>
        <v xml:space="preserve"> </v>
      </c>
      <c r="K14" s="1776" t="str">
        <f t="shared" si="1"/>
        <v xml:space="preserve"> </v>
      </c>
      <c r="L14" s="1776">
        <f t="shared" si="2"/>
        <v>-763036.47</v>
      </c>
      <c r="M14" s="1799" t="str">
        <f t="shared" si="3"/>
        <v xml:space="preserve"> </v>
      </c>
      <c r="N14" s="1799" t="str">
        <f t="shared" ref="N14:N43" si="6">IF(I14="Labor",H14," ")</f>
        <v xml:space="preserve"> </v>
      </c>
    </row>
    <row r="15" spans="1:24">
      <c r="C15" s="1795" t="s">
        <v>619</v>
      </c>
      <c r="D15" s="1796" t="s">
        <v>339</v>
      </c>
      <c r="E15" s="1795" t="s">
        <v>944</v>
      </c>
      <c r="F15" s="700"/>
      <c r="G15" s="1800" t="s">
        <v>622</v>
      </c>
      <c r="H15" s="1797">
        <v>48938.61</v>
      </c>
      <c r="I15" s="1798" t="s">
        <v>160</v>
      </c>
      <c r="J15" s="1799" t="str">
        <f t="shared" si="5"/>
        <v xml:space="preserve"> </v>
      </c>
      <c r="K15" s="1776" t="str">
        <f t="shared" si="1"/>
        <v xml:space="preserve"> </v>
      </c>
      <c r="L15" s="1776">
        <f t="shared" si="2"/>
        <v>48938.61</v>
      </c>
      <c r="M15" s="1799" t="str">
        <f t="shared" si="3"/>
        <v xml:space="preserve"> </v>
      </c>
      <c r="N15" s="1799" t="str">
        <f t="shared" si="6"/>
        <v xml:space="preserve"> </v>
      </c>
    </row>
    <row r="16" spans="1:24">
      <c r="C16" s="1795" t="s">
        <v>619</v>
      </c>
      <c r="D16" s="1796"/>
      <c r="E16" s="1795" t="s">
        <v>945</v>
      </c>
      <c r="F16" s="700"/>
      <c r="G16" s="1800" t="s">
        <v>623</v>
      </c>
      <c r="H16" s="1797">
        <v>-9342798.9900000002</v>
      </c>
      <c r="I16" s="1798" t="s">
        <v>160</v>
      </c>
      <c r="J16" s="1799" t="str">
        <f t="shared" si="5"/>
        <v xml:space="preserve"> </v>
      </c>
      <c r="K16" s="1776" t="str">
        <f t="shared" si="1"/>
        <v xml:space="preserve"> </v>
      </c>
      <c r="L16" s="1776">
        <f t="shared" si="2"/>
        <v>-9342798.9900000002</v>
      </c>
      <c r="M16" s="1799" t="str">
        <f t="shared" si="3"/>
        <v xml:space="preserve"> </v>
      </c>
      <c r="N16" s="1799" t="str">
        <f t="shared" si="6"/>
        <v xml:space="preserve"> </v>
      </c>
    </row>
    <row r="17" spans="3:14">
      <c r="C17" s="1795" t="s">
        <v>619</v>
      </c>
      <c r="D17" s="1796"/>
      <c r="E17" s="1795" t="s">
        <v>946</v>
      </c>
      <c r="F17" s="700"/>
      <c r="G17" s="1800" t="s">
        <v>624</v>
      </c>
      <c r="H17" s="1797">
        <v>-2775533.25</v>
      </c>
      <c r="I17" s="1798" t="s">
        <v>160</v>
      </c>
      <c r="J17" s="1799" t="str">
        <f t="shared" si="5"/>
        <v xml:space="preserve"> </v>
      </c>
      <c r="K17" s="1776" t="str">
        <f t="shared" si="1"/>
        <v xml:space="preserve"> </v>
      </c>
      <c r="L17" s="1776">
        <f t="shared" si="2"/>
        <v>-2775533.25</v>
      </c>
      <c r="M17" s="1799" t="str">
        <f t="shared" si="3"/>
        <v xml:space="preserve"> </v>
      </c>
      <c r="N17" s="1799" t="str">
        <f t="shared" si="6"/>
        <v xml:space="preserve"> </v>
      </c>
    </row>
    <row r="18" spans="3:14">
      <c r="C18" s="1795" t="s">
        <v>619</v>
      </c>
      <c r="D18" s="1796"/>
      <c r="E18" s="1795" t="s">
        <v>947</v>
      </c>
      <c r="F18" s="700"/>
      <c r="G18" s="1800" t="s">
        <v>625</v>
      </c>
      <c r="H18" s="1797">
        <v>1679950.2</v>
      </c>
      <c r="I18" s="1798" t="s">
        <v>160</v>
      </c>
      <c r="J18" s="1799" t="str">
        <f t="shared" si="5"/>
        <v xml:space="preserve"> </v>
      </c>
      <c r="K18" s="1776" t="str">
        <f t="shared" si="1"/>
        <v xml:space="preserve"> </v>
      </c>
      <c r="L18" s="1776">
        <f t="shared" si="2"/>
        <v>1679950.2</v>
      </c>
      <c r="M18" s="1799" t="str">
        <f t="shared" si="3"/>
        <v xml:space="preserve"> </v>
      </c>
      <c r="N18" s="1799" t="str">
        <f t="shared" si="6"/>
        <v xml:space="preserve"> </v>
      </c>
    </row>
    <row r="19" spans="3:14">
      <c r="C19" s="1795" t="s">
        <v>619</v>
      </c>
      <c r="D19" s="1796"/>
      <c r="E19" s="1795" t="s">
        <v>948</v>
      </c>
      <c r="F19" s="700"/>
      <c r="G19" s="1800" t="s">
        <v>626</v>
      </c>
      <c r="H19" s="1797">
        <v>-21677627.020000003</v>
      </c>
      <c r="I19" s="1798" t="s">
        <v>293</v>
      </c>
      <c r="J19" s="1799">
        <f t="shared" si="5"/>
        <v>-21677627.020000003</v>
      </c>
      <c r="K19" s="1776" t="str">
        <f t="shared" si="1"/>
        <v xml:space="preserve"> </v>
      </c>
      <c r="L19" s="1776" t="str">
        <f t="shared" si="2"/>
        <v xml:space="preserve"> </v>
      </c>
      <c r="M19" s="1799" t="str">
        <f t="shared" si="3"/>
        <v xml:space="preserve"> </v>
      </c>
      <c r="N19" s="1799" t="str">
        <f t="shared" si="6"/>
        <v xml:space="preserve"> </v>
      </c>
    </row>
    <row r="20" spans="3:14">
      <c r="C20" s="1795" t="s">
        <v>619</v>
      </c>
      <c r="D20" s="1796"/>
      <c r="E20" s="1795" t="s">
        <v>949</v>
      </c>
      <c r="F20" s="700"/>
      <c r="G20" s="1800" t="s">
        <v>627</v>
      </c>
      <c r="H20" s="1797">
        <v>-24187219.040000003</v>
      </c>
      <c r="I20" s="1798" t="s">
        <v>160</v>
      </c>
      <c r="J20" s="1799" t="str">
        <f t="shared" si="5"/>
        <v xml:space="preserve"> </v>
      </c>
      <c r="K20" s="1776" t="str">
        <f t="shared" si="1"/>
        <v xml:space="preserve"> </v>
      </c>
      <c r="L20" s="1776">
        <f t="shared" si="2"/>
        <v>-24187219.040000003</v>
      </c>
      <c r="M20" s="1799" t="str">
        <f t="shared" si="3"/>
        <v xml:space="preserve"> </v>
      </c>
      <c r="N20" s="1799" t="str">
        <f t="shared" si="6"/>
        <v xml:space="preserve"> </v>
      </c>
    </row>
    <row r="21" spans="3:14">
      <c r="C21" s="1795" t="s">
        <v>619</v>
      </c>
      <c r="D21" s="1796" t="s">
        <v>339</v>
      </c>
      <c r="E21" s="1795" t="s">
        <v>950</v>
      </c>
      <c r="F21" s="700"/>
      <c r="G21" s="1800" t="s">
        <v>628</v>
      </c>
      <c r="H21" s="1797">
        <v>1058846.83</v>
      </c>
      <c r="I21" s="1798" t="s">
        <v>160</v>
      </c>
      <c r="J21" s="1799" t="str">
        <f t="shared" si="5"/>
        <v xml:space="preserve"> </v>
      </c>
      <c r="K21" s="1776" t="str">
        <f t="shared" si="1"/>
        <v xml:space="preserve"> </v>
      </c>
      <c r="L21" s="1776">
        <f t="shared" si="2"/>
        <v>1058846.83</v>
      </c>
      <c r="M21" s="1799" t="str">
        <f t="shared" si="3"/>
        <v xml:space="preserve"> </v>
      </c>
      <c r="N21" s="1799" t="str">
        <f t="shared" si="6"/>
        <v xml:space="preserve"> </v>
      </c>
    </row>
    <row r="22" spans="3:14">
      <c r="C22" s="1795" t="s">
        <v>619</v>
      </c>
      <c r="D22" s="1796" t="s">
        <v>339</v>
      </c>
      <c r="E22" s="1795" t="s">
        <v>951</v>
      </c>
      <c r="F22" s="700"/>
      <c r="G22" s="1800" t="s">
        <v>629</v>
      </c>
      <c r="H22" s="1797">
        <v>-1612881.2700000003</v>
      </c>
      <c r="I22" s="1798" t="s">
        <v>293</v>
      </c>
      <c r="J22" s="1799">
        <f t="shared" si="5"/>
        <v>-1612881.2700000003</v>
      </c>
      <c r="K22" s="1776" t="str">
        <f t="shared" si="1"/>
        <v xml:space="preserve"> </v>
      </c>
      <c r="L22" s="1776" t="str">
        <f t="shared" si="2"/>
        <v xml:space="preserve"> </v>
      </c>
      <c r="M22" s="1799" t="str">
        <f t="shared" si="3"/>
        <v xml:space="preserve"> </v>
      </c>
      <c r="N22" s="1799" t="str">
        <f t="shared" si="6"/>
        <v xml:space="preserve"> </v>
      </c>
    </row>
    <row r="23" spans="3:14">
      <c r="C23" s="1795" t="s">
        <v>619</v>
      </c>
      <c r="D23" s="1796" t="s">
        <v>339</v>
      </c>
      <c r="E23" s="1795" t="s">
        <v>952</v>
      </c>
      <c r="F23" s="700"/>
      <c r="G23" s="1800" t="s">
        <v>630</v>
      </c>
      <c r="H23" s="1797">
        <v>-48594329.529999994</v>
      </c>
      <c r="I23" s="1798" t="s">
        <v>160</v>
      </c>
      <c r="J23" s="1799" t="str">
        <f t="shared" si="5"/>
        <v xml:space="preserve"> </v>
      </c>
      <c r="K23" s="1776" t="str">
        <f t="shared" si="1"/>
        <v xml:space="preserve"> </v>
      </c>
      <c r="L23" s="1776">
        <f t="shared" si="2"/>
        <v>-48594329.529999994</v>
      </c>
      <c r="M23" s="1799" t="str">
        <f t="shared" si="3"/>
        <v xml:space="preserve"> </v>
      </c>
      <c r="N23" s="1799" t="str">
        <f t="shared" si="6"/>
        <v xml:space="preserve"> </v>
      </c>
    </row>
    <row r="24" spans="3:14">
      <c r="C24" s="1795" t="s">
        <v>619</v>
      </c>
      <c r="D24" s="1796" t="s">
        <v>339</v>
      </c>
      <c r="E24" s="1795" t="s">
        <v>953</v>
      </c>
      <c r="F24" s="700"/>
      <c r="G24" s="1800" t="s">
        <v>631</v>
      </c>
      <c r="H24" s="1797">
        <v>76682546.349999994</v>
      </c>
      <c r="I24" s="1798" t="s">
        <v>160</v>
      </c>
      <c r="J24" s="1799" t="str">
        <f t="shared" si="5"/>
        <v xml:space="preserve"> </v>
      </c>
      <c r="K24" s="1776" t="str">
        <f t="shared" si="1"/>
        <v xml:space="preserve"> </v>
      </c>
      <c r="L24" s="1776">
        <f t="shared" si="2"/>
        <v>76682546.349999994</v>
      </c>
      <c r="M24" s="1799" t="str">
        <f t="shared" si="3"/>
        <v xml:space="preserve"> </v>
      </c>
      <c r="N24" s="1799" t="str">
        <f t="shared" si="6"/>
        <v xml:space="preserve"> </v>
      </c>
    </row>
    <row r="25" spans="3:14">
      <c r="C25" s="1795" t="s">
        <v>619</v>
      </c>
      <c r="D25" s="1796" t="s">
        <v>339</v>
      </c>
      <c r="E25" s="1795" t="s">
        <v>954</v>
      </c>
      <c r="F25" s="700"/>
      <c r="G25" s="1800" t="s">
        <v>632</v>
      </c>
      <c r="H25" s="1797">
        <v>9878740.5900000017</v>
      </c>
      <c r="I25" s="1798" t="s">
        <v>293</v>
      </c>
      <c r="J25" s="1799">
        <f t="shared" si="5"/>
        <v>9878740.5900000017</v>
      </c>
      <c r="K25" s="1776" t="str">
        <f t="shared" si="1"/>
        <v xml:space="preserve"> </v>
      </c>
      <c r="L25" s="1776" t="str">
        <f t="shared" si="2"/>
        <v xml:space="preserve"> </v>
      </c>
      <c r="M25" s="1799" t="str">
        <f t="shared" si="3"/>
        <v xml:space="preserve"> </v>
      </c>
      <c r="N25" s="1799" t="str">
        <f t="shared" si="6"/>
        <v xml:space="preserve"> </v>
      </c>
    </row>
    <row r="26" spans="3:14">
      <c r="C26" s="1795" t="s">
        <v>619</v>
      </c>
      <c r="D26" s="1796" t="s">
        <v>339</v>
      </c>
      <c r="E26" s="1795" t="s">
        <v>955</v>
      </c>
      <c r="F26" s="700"/>
      <c r="G26" s="1800" t="s">
        <v>633</v>
      </c>
      <c r="H26" s="1797">
        <v>-235401.60000000001</v>
      </c>
      <c r="I26" s="1798" t="s">
        <v>160</v>
      </c>
      <c r="J26" s="1799" t="str">
        <f t="shared" si="5"/>
        <v xml:space="preserve"> </v>
      </c>
      <c r="K26" s="1776" t="str">
        <f t="shared" si="1"/>
        <v xml:space="preserve"> </v>
      </c>
      <c r="L26" s="1776">
        <f t="shared" si="2"/>
        <v>-235401.60000000001</v>
      </c>
      <c r="M26" s="1799" t="str">
        <f t="shared" si="3"/>
        <v xml:space="preserve"> </v>
      </c>
      <c r="N26" s="1799" t="str">
        <f t="shared" si="6"/>
        <v xml:space="preserve"> </v>
      </c>
    </row>
    <row r="27" spans="3:14">
      <c r="C27" s="1795" t="s">
        <v>619</v>
      </c>
      <c r="D27" s="1796" t="s">
        <v>339</v>
      </c>
      <c r="E27" s="1795" t="s">
        <v>956</v>
      </c>
      <c r="F27" s="700"/>
      <c r="G27" s="1800" t="s">
        <v>634</v>
      </c>
      <c r="H27" s="1797">
        <v>-9076043.8200000003</v>
      </c>
      <c r="I27" s="1798" t="s">
        <v>160</v>
      </c>
      <c r="J27" s="1799" t="str">
        <f t="shared" si="5"/>
        <v xml:space="preserve"> </v>
      </c>
      <c r="K27" s="1776" t="str">
        <f t="shared" si="1"/>
        <v xml:space="preserve"> </v>
      </c>
      <c r="L27" s="1776">
        <f t="shared" si="2"/>
        <v>-9076043.8200000003</v>
      </c>
      <c r="M27" s="1799" t="str">
        <f t="shared" si="3"/>
        <v xml:space="preserve"> </v>
      </c>
      <c r="N27" s="1799" t="str">
        <f t="shared" si="6"/>
        <v xml:space="preserve"> </v>
      </c>
    </row>
    <row r="28" spans="3:14">
      <c r="C28" s="1795" t="s">
        <v>619</v>
      </c>
      <c r="D28" s="1796" t="s">
        <v>339</v>
      </c>
      <c r="E28" s="1795" t="s">
        <v>957</v>
      </c>
      <c r="F28" s="700"/>
      <c r="G28" s="1800" t="s">
        <v>635</v>
      </c>
      <c r="H28" s="1797">
        <v>-59033550.449999996</v>
      </c>
      <c r="I28" s="1798" t="s">
        <v>160</v>
      </c>
      <c r="J28" s="1799" t="str">
        <f t="shared" si="5"/>
        <v xml:space="preserve"> </v>
      </c>
      <c r="K28" s="1776" t="str">
        <f t="shared" si="1"/>
        <v xml:space="preserve"> </v>
      </c>
      <c r="L28" s="1776">
        <f t="shared" si="2"/>
        <v>-59033550.449999996</v>
      </c>
      <c r="M28" s="1799" t="str">
        <f t="shared" si="3"/>
        <v xml:space="preserve"> </v>
      </c>
      <c r="N28" s="1799" t="str">
        <f t="shared" si="6"/>
        <v xml:space="preserve"> </v>
      </c>
    </row>
    <row r="29" spans="3:14">
      <c r="C29" s="1795" t="s">
        <v>619</v>
      </c>
      <c r="D29" s="1796" t="s">
        <v>339</v>
      </c>
      <c r="E29" s="1795" t="s">
        <v>958</v>
      </c>
      <c r="F29" s="700"/>
      <c r="G29" s="1800" t="s">
        <v>636</v>
      </c>
      <c r="H29" s="1797">
        <v>-20312368.649999999</v>
      </c>
      <c r="I29" s="1798" t="s">
        <v>160</v>
      </c>
      <c r="J29" s="1799" t="str">
        <f t="shared" si="5"/>
        <v xml:space="preserve"> </v>
      </c>
      <c r="K29" s="1776" t="str">
        <f t="shared" si="1"/>
        <v xml:space="preserve"> </v>
      </c>
      <c r="L29" s="1776">
        <f t="shared" si="2"/>
        <v>-20312368.649999999</v>
      </c>
      <c r="M29" s="1799" t="str">
        <f t="shared" si="3"/>
        <v xml:space="preserve"> </v>
      </c>
      <c r="N29" s="1799" t="str">
        <f t="shared" si="6"/>
        <v xml:space="preserve"> </v>
      </c>
    </row>
    <row r="30" spans="3:14">
      <c r="C30" s="1795" t="s">
        <v>619</v>
      </c>
      <c r="D30" s="1796"/>
      <c r="E30" s="1795" t="s">
        <v>1399</v>
      </c>
      <c r="F30" s="700"/>
      <c r="G30" s="1800" t="s">
        <v>1401</v>
      </c>
      <c r="H30" s="1797">
        <v>-1669242.75</v>
      </c>
      <c r="I30" s="1798" t="s">
        <v>160</v>
      </c>
      <c r="J30" s="1799" t="str">
        <f t="shared" si="5"/>
        <v xml:space="preserve"> </v>
      </c>
      <c r="K30" s="1776" t="str">
        <f t="shared" si="1"/>
        <v xml:space="preserve"> </v>
      </c>
      <c r="L30" s="1776">
        <f t="shared" si="2"/>
        <v>-1669242.75</v>
      </c>
      <c r="M30" s="1799" t="str">
        <f t="shared" si="3"/>
        <v xml:space="preserve"> </v>
      </c>
      <c r="N30" s="1799" t="str">
        <f t="shared" si="6"/>
        <v xml:space="preserve"> </v>
      </c>
    </row>
    <row r="31" spans="3:14">
      <c r="C31" s="1795" t="s">
        <v>619</v>
      </c>
      <c r="D31" s="1796" t="s">
        <v>339</v>
      </c>
      <c r="E31" s="1795" t="s">
        <v>959</v>
      </c>
      <c r="F31" s="700"/>
      <c r="G31" s="1800" t="s">
        <v>637</v>
      </c>
      <c r="H31" s="1797">
        <v>-6646865.4000000004</v>
      </c>
      <c r="I31" s="1798" t="s">
        <v>160</v>
      </c>
      <c r="J31" s="1799" t="str">
        <f t="shared" si="5"/>
        <v xml:space="preserve"> </v>
      </c>
      <c r="K31" s="1776" t="str">
        <f t="shared" si="1"/>
        <v xml:space="preserve"> </v>
      </c>
      <c r="L31" s="1776">
        <f t="shared" si="2"/>
        <v>-6646865.4000000004</v>
      </c>
      <c r="M31" s="1799" t="str">
        <f t="shared" si="3"/>
        <v xml:space="preserve"> </v>
      </c>
      <c r="N31" s="1799" t="str">
        <f t="shared" si="6"/>
        <v xml:space="preserve"> </v>
      </c>
    </row>
    <row r="32" spans="3:14">
      <c r="C32" s="1795" t="s">
        <v>619</v>
      </c>
      <c r="D32" s="1796" t="s">
        <v>339</v>
      </c>
      <c r="E32" s="1795" t="s">
        <v>960</v>
      </c>
      <c r="F32" s="700"/>
      <c r="G32" s="1800" t="s">
        <v>638</v>
      </c>
      <c r="H32" s="1797"/>
      <c r="I32" s="1798" t="s">
        <v>160</v>
      </c>
      <c r="J32" s="1799" t="str">
        <f t="shared" si="5"/>
        <v xml:space="preserve"> </v>
      </c>
      <c r="K32" s="1776" t="str">
        <f t="shared" si="1"/>
        <v xml:space="preserve"> </v>
      </c>
      <c r="L32" s="1776">
        <f t="shared" si="2"/>
        <v>0</v>
      </c>
      <c r="M32" s="1799" t="str">
        <f t="shared" si="3"/>
        <v xml:space="preserve"> </v>
      </c>
      <c r="N32" s="1799" t="str">
        <f t="shared" si="6"/>
        <v xml:space="preserve"> </v>
      </c>
    </row>
    <row r="33" spans="3:15">
      <c r="C33" s="1795" t="s">
        <v>619</v>
      </c>
      <c r="D33" s="1796" t="s">
        <v>339</v>
      </c>
      <c r="E33" s="1795" t="s">
        <v>961</v>
      </c>
      <c r="F33" s="700"/>
      <c r="G33" s="1800" t="s">
        <v>639</v>
      </c>
      <c r="H33" s="1797"/>
      <c r="I33" s="1798" t="s">
        <v>293</v>
      </c>
      <c r="J33" s="1799">
        <f t="shared" si="5"/>
        <v>0</v>
      </c>
      <c r="K33" s="1776" t="str">
        <f t="shared" si="1"/>
        <v xml:space="preserve"> </v>
      </c>
      <c r="L33" s="1776" t="str">
        <f t="shared" si="2"/>
        <v xml:space="preserve"> </v>
      </c>
      <c r="M33" s="1799" t="str">
        <f t="shared" si="3"/>
        <v xml:space="preserve"> </v>
      </c>
      <c r="N33" s="1799" t="str">
        <f t="shared" si="6"/>
        <v xml:space="preserve"> </v>
      </c>
    </row>
    <row r="34" spans="3:15">
      <c r="C34" s="1795" t="s">
        <v>619</v>
      </c>
      <c r="D34" s="1796" t="s">
        <v>339</v>
      </c>
      <c r="E34" s="1795" t="s">
        <v>962</v>
      </c>
      <c r="F34" s="700"/>
      <c r="G34" s="1800" t="s">
        <v>640</v>
      </c>
      <c r="H34" s="1797">
        <v>-6708347.4000000004</v>
      </c>
      <c r="I34" s="1798" t="s">
        <v>160</v>
      </c>
      <c r="J34" s="1799" t="str">
        <f t="shared" si="5"/>
        <v xml:space="preserve"> </v>
      </c>
      <c r="K34" s="1776" t="str">
        <f t="shared" si="1"/>
        <v xml:space="preserve"> </v>
      </c>
      <c r="L34" s="1776">
        <f t="shared" si="2"/>
        <v>-6708347.4000000004</v>
      </c>
      <c r="M34" s="1799" t="str">
        <f t="shared" si="3"/>
        <v xml:space="preserve"> </v>
      </c>
      <c r="N34" s="1799" t="str">
        <f t="shared" si="6"/>
        <v xml:space="preserve"> </v>
      </c>
    </row>
    <row r="35" spans="3:15">
      <c r="C35" s="1795" t="s">
        <v>619</v>
      </c>
      <c r="D35" s="1796" t="s">
        <v>339</v>
      </c>
      <c r="E35" s="1795" t="s">
        <v>963</v>
      </c>
      <c r="F35" s="700"/>
      <c r="G35" s="1800" t="s">
        <v>641</v>
      </c>
      <c r="H35" s="1797">
        <v>-1726995</v>
      </c>
      <c r="I35" s="1798" t="s">
        <v>160</v>
      </c>
      <c r="J35" s="1799" t="str">
        <f t="shared" si="5"/>
        <v xml:space="preserve"> </v>
      </c>
      <c r="K35" s="1776" t="str">
        <f t="shared" si="1"/>
        <v xml:space="preserve"> </v>
      </c>
      <c r="L35" s="1776">
        <f t="shared" si="2"/>
        <v>-1726995</v>
      </c>
      <c r="M35" s="1799" t="str">
        <f t="shared" si="3"/>
        <v xml:space="preserve"> </v>
      </c>
      <c r="N35" s="1799" t="str">
        <f t="shared" si="6"/>
        <v xml:space="preserve"> </v>
      </c>
    </row>
    <row r="36" spans="3:15">
      <c r="C36" s="1795" t="s">
        <v>619</v>
      </c>
      <c r="D36" s="1796" t="s">
        <v>339</v>
      </c>
      <c r="E36" s="1795" t="s">
        <v>964</v>
      </c>
      <c r="F36" s="700"/>
      <c r="G36" s="1800" t="s">
        <v>642</v>
      </c>
      <c r="H36" s="1797">
        <v>-13719.6</v>
      </c>
      <c r="I36" s="1798" t="s">
        <v>293</v>
      </c>
      <c r="J36" s="1799">
        <f t="shared" si="5"/>
        <v>-13719.6</v>
      </c>
      <c r="K36" s="1776" t="str">
        <f t="shared" si="1"/>
        <v xml:space="preserve"> </v>
      </c>
      <c r="L36" s="1776" t="str">
        <f t="shared" si="2"/>
        <v xml:space="preserve"> </v>
      </c>
      <c r="M36" s="1799" t="str">
        <f t="shared" si="3"/>
        <v xml:space="preserve"> </v>
      </c>
      <c r="N36" s="1799" t="str">
        <f t="shared" si="6"/>
        <v xml:space="preserve"> </v>
      </c>
    </row>
    <row r="37" spans="3:15">
      <c r="C37" s="1795" t="s">
        <v>619</v>
      </c>
      <c r="D37" s="1796" t="s">
        <v>339</v>
      </c>
      <c r="E37" s="1795" t="s">
        <v>965</v>
      </c>
      <c r="F37" s="700"/>
      <c r="G37" s="1800" t="s">
        <v>643</v>
      </c>
      <c r="H37" s="1797">
        <v>3730948.84</v>
      </c>
      <c r="I37" s="1798" t="s">
        <v>293</v>
      </c>
      <c r="J37" s="1799">
        <f t="shared" si="5"/>
        <v>3730948.84</v>
      </c>
      <c r="K37" s="1776" t="str">
        <f t="shared" si="1"/>
        <v xml:space="preserve"> </v>
      </c>
      <c r="L37" s="1776" t="str">
        <f t="shared" si="2"/>
        <v xml:space="preserve"> </v>
      </c>
      <c r="M37" s="1799" t="str">
        <f t="shared" si="3"/>
        <v xml:space="preserve"> </v>
      </c>
      <c r="N37" s="1799" t="str">
        <f t="shared" si="6"/>
        <v xml:space="preserve"> </v>
      </c>
    </row>
    <row r="38" spans="3:15">
      <c r="C38" s="1795" t="s">
        <v>619</v>
      </c>
      <c r="D38" s="1796" t="s">
        <v>339</v>
      </c>
      <c r="E38" s="1795" t="s">
        <v>966</v>
      </c>
      <c r="F38" s="700"/>
      <c r="G38" s="1800" t="s">
        <v>644</v>
      </c>
      <c r="H38" s="1797">
        <v>4396.7699999999995</v>
      </c>
      <c r="I38" s="1798" t="s">
        <v>302</v>
      </c>
      <c r="J38" s="1799" t="str">
        <f t="shared" si="5"/>
        <v xml:space="preserve"> </v>
      </c>
      <c r="K38" s="1776" t="str">
        <f t="shared" si="1"/>
        <v xml:space="preserve"> </v>
      </c>
      <c r="L38" s="1776" t="str">
        <f t="shared" si="2"/>
        <v xml:space="preserve"> </v>
      </c>
      <c r="M38" s="1799" t="str">
        <f t="shared" si="3"/>
        <v xml:space="preserve"> </v>
      </c>
      <c r="N38" s="1799">
        <f t="shared" si="6"/>
        <v>4396.7699999999995</v>
      </c>
    </row>
    <row r="39" spans="3:15">
      <c r="C39" s="1795" t="s">
        <v>619</v>
      </c>
      <c r="D39" s="1796" t="s">
        <v>339</v>
      </c>
      <c r="E39" s="1795" t="s">
        <v>967</v>
      </c>
      <c r="G39" s="1800" t="s">
        <v>645</v>
      </c>
      <c r="H39" s="1797">
        <v>-8763.0899999999674</v>
      </c>
      <c r="I39" s="1798" t="s">
        <v>160</v>
      </c>
      <c r="J39" s="1799" t="str">
        <f t="shared" si="5"/>
        <v xml:space="preserve"> </v>
      </c>
      <c r="K39" s="1776" t="str">
        <f t="shared" si="1"/>
        <v xml:space="preserve"> </v>
      </c>
      <c r="L39" s="1776">
        <f t="shared" si="2"/>
        <v>-8763.0899999999674</v>
      </c>
      <c r="M39" s="1799" t="str">
        <f t="shared" si="3"/>
        <v xml:space="preserve"> </v>
      </c>
      <c r="N39" s="1799" t="str">
        <f t="shared" si="6"/>
        <v xml:space="preserve"> </v>
      </c>
    </row>
    <row r="40" spans="3:15">
      <c r="C40" s="1795" t="s">
        <v>619</v>
      </c>
      <c r="D40" s="1796" t="s">
        <v>339</v>
      </c>
      <c r="E40" s="1795" t="s">
        <v>968</v>
      </c>
      <c r="G40" s="1800" t="s">
        <v>646</v>
      </c>
      <c r="H40" s="1797">
        <v>-10357161.51</v>
      </c>
      <c r="I40" s="1798" t="s">
        <v>302</v>
      </c>
      <c r="J40" s="1799" t="str">
        <f t="shared" si="5"/>
        <v xml:space="preserve"> </v>
      </c>
      <c r="K40" s="1776" t="str">
        <f t="shared" si="1"/>
        <v xml:space="preserve"> </v>
      </c>
      <c r="L40" s="1776" t="str">
        <f t="shared" si="2"/>
        <v xml:space="preserve"> </v>
      </c>
      <c r="M40" s="1799" t="str">
        <f t="shared" si="3"/>
        <v xml:space="preserve"> </v>
      </c>
      <c r="N40" s="1799">
        <f t="shared" si="6"/>
        <v>-10357161.51</v>
      </c>
    </row>
    <row r="41" spans="3:15">
      <c r="C41" s="1795" t="s">
        <v>619</v>
      </c>
      <c r="D41" s="1796" t="s">
        <v>339</v>
      </c>
      <c r="E41" s="1795" t="s">
        <v>969</v>
      </c>
      <c r="G41" s="1800" t="s">
        <v>647</v>
      </c>
      <c r="H41" s="1797">
        <v>-8507704.8000000007</v>
      </c>
      <c r="I41" s="1798" t="s">
        <v>293</v>
      </c>
      <c r="J41" s="1799">
        <f t="shared" si="5"/>
        <v>-8507704.8000000007</v>
      </c>
      <c r="K41" s="1776" t="str">
        <f t="shared" si="1"/>
        <v xml:space="preserve"> </v>
      </c>
      <c r="L41" s="1776" t="str">
        <f t="shared" si="2"/>
        <v xml:space="preserve"> </v>
      </c>
      <c r="M41" s="1799" t="str">
        <f t="shared" si="3"/>
        <v xml:space="preserve"> </v>
      </c>
      <c r="N41" s="1799" t="str">
        <f t="shared" si="6"/>
        <v xml:space="preserve"> </v>
      </c>
    </row>
    <row r="42" spans="3:15">
      <c r="C42" s="1795" t="s">
        <v>619</v>
      </c>
      <c r="D42" s="1796" t="s">
        <v>339</v>
      </c>
      <c r="E42" s="1795" t="s">
        <v>970</v>
      </c>
      <c r="G42" s="1800" t="s">
        <v>648</v>
      </c>
      <c r="H42" s="1797">
        <v>-48015904.68</v>
      </c>
      <c r="I42" s="1798" t="s">
        <v>160</v>
      </c>
      <c r="J42" s="1799" t="str">
        <f t="shared" si="5"/>
        <v xml:space="preserve"> </v>
      </c>
      <c r="K42" s="1776" t="str">
        <f t="shared" si="1"/>
        <v xml:space="preserve"> </v>
      </c>
      <c r="L42" s="1776">
        <f t="shared" si="2"/>
        <v>-48015904.68</v>
      </c>
      <c r="M42" s="1799" t="str">
        <f t="shared" si="3"/>
        <v xml:space="preserve"> </v>
      </c>
      <c r="N42" s="1799" t="str">
        <f t="shared" si="6"/>
        <v xml:space="preserve"> </v>
      </c>
    </row>
    <row r="43" spans="3:15">
      <c r="C43" s="1795" t="s">
        <v>619</v>
      </c>
      <c r="D43" s="1796" t="s">
        <v>339</v>
      </c>
      <c r="E43" s="1795" t="s">
        <v>971</v>
      </c>
      <c r="G43" s="1800" t="s">
        <v>649</v>
      </c>
      <c r="H43" s="1797">
        <v>-6338.46</v>
      </c>
      <c r="I43" s="1798" t="s">
        <v>293</v>
      </c>
      <c r="J43" s="1799">
        <f t="shared" si="5"/>
        <v>-6338.46</v>
      </c>
      <c r="K43" s="1776" t="str">
        <f t="shared" si="1"/>
        <v xml:space="preserve"> </v>
      </c>
      <c r="L43" s="1776" t="str">
        <f t="shared" si="2"/>
        <v xml:space="preserve"> </v>
      </c>
      <c r="M43" s="1799" t="str">
        <f t="shared" si="3"/>
        <v xml:space="preserve"> </v>
      </c>
      <c r="N43" s="1799" t="str">
        <f t="shared" si="6"/>
        <v xml:space="preserve"> </v>
      </c>
    </row>
    <row r="44" spans="3:15">
      <c r="C44" s="1061"/>
      <c r="D44" s="1801"/>
      <c r="E44" s="1063"/>
      <c r="F44" s="1064"/>
      <c r="G44" s="1063"/>
      <c r="H44" s="1797"/>
      <c r="I44" s="1066"/>
      <c r="J44" s="1799" t="str">
        <f>IF(I44="e",H47," ")</f>
        <v xml:space="preserve"> </v>
      </c>
      <c r="K44" s="1776" t="str">
        <f>IF($I44="T",$H47," ")</f>
        <v xml:space="preserve"> </v>
      </c>
      <c r="L44" s="1776" t="str">
        <f>IF($I44="PTD",$H47," ")</f>
        <v xml:space="preserve"> </v>
      </c>
      <c r="M44" s="1799" t="str">
        <f>IF($I44="T&amp;D",$H47," ")</f>
        <v xml:space="preserve"> </v>
      </c>
      <c r="N44" s="1799" t="str">
        <f>IF(I44="Labor",H47," ")</f>
        <v xml:space="preserve"> </v>
      </c>
      <c r="O44" s="1068"/>
    </row>
    <row r="45" spans="3:15">
      <c r="C45" s="1795" t="s">
        <v>619</v>
      </c>
      <c r="D45" s="1801"/>
      <c r="E45" s="1063" t="s">
        <v>826</v>
      </c>
      <c r="F45" s="1064"/>
      <c r="G45" s="1063" t="s">
        <v>1269</v>
      </c>
      <c r="H45" s="1797">
        <v>-4223707.99</v>
      </c>
      <c r="I45" s="1066" t="s">
        <v>1271</v>
      </c>
      <c r="J45" s="1797">
        <v>-390144029.99000001</v>
      </c>
      <c r="K45" s="1797">
        <v>-90530656</v>
      </c>
      <c r="L45" s="1776"/>
      <c r="M45" s="1799"/>
      <c r="N45" s="1799"/>
      <c r="O45" s="1068"/>
    </row>
    <row r="46" spans="3:15">
      <c r="C46" s="1795" t="s">
        <v>619</v>
      </c>
      <c r="D46" s="1801"/>
      <c r="E46" s="1063" t="s">
        <v>826</v>
      </c>
      <c r="F46" s="1064"/>
      <c r="G46" s="1063" t="s">
        <v>1518</v>
      </c>
      <c r="H46" s="1797">
        <v>-83020268</v>
      </c>
      <c r="I46" s="1066"/>
      <c r="J46" s="1776"/>
      <c r="K46" s="1776"/>
      <c r="L46" s="1776"/>
      <c r="M46" s="1799"/>
      <c r="N46" s="1799"/>
      <c r="O46" s="1068"/>
    </row>
    <row r="47" spans="3:15">
      <c r="C47" s="1795" t="s">
        <v>619</v>
      </c>
      <c r="D47" s="1801"/>
      <c r="E47" s="1063" t="s">
        <v>826</v>
      </c>
      <c r="F47" s="1064"/>
      <c r="G47" s="1063" t="s">
        <v>1519</v>
      </c>
      <c r="H47" s="1065">
        <v>-23364011</v>
      </c>
      <c r="I47" s="1066"/>
      <c r="J47" s="1776"/>
      <c r="K47" s="1776"/>
      <c r="L47" s="1776"/>
      <c r="M47" s="1799"/>
      <c r="N47" s="1799"/>
      <c r="O47" s="1068"/>
    </row>
    <row r="48" spans="3:15">
      <c r="C48" s="1795" t="s">
        <v>619</v>
      </c>
      <c r="D48" s="1801"/>
      <c r="E48" s="1063" t="s">
        <v>826</v>
      </c>
      <c r="F48" s="1064"/>
      <c r="G48" s="1063" t="s">
        <v>1520</v>
      </c>
      <c r="H48" s="1065">
        <v>-167390470</v>
      </c>
      <c r="I48" s="1066"/>
      <c r="J48" s="1776"/>
      <c r="K48" s="1776"/>
      <c r="L48" s="1776"/>
      <c r="M48" s="1799"/>
      <c r="N48" s="1799"/>
      <c r="O48" s="1068"/>
    </row>
    <row r="49" spans="3:15">
      <c r="C49" s="1795" t="s">
        <v>619</v>
      </c>
      <c r="D49" s="1801"/>
      <c r="E49" s="1063" t="s">
        <v>826</v>
      </c>
      <c r="F49" s="1064"/>
      <c r="G49" s="1063" t="s">
        <v>1521</v>
      </c>
      <c r="H49" s="1065">
        <v>-202676229</v>
      </c>
      <c r="I49" s="1066"/>
      <c r="J49" s="1776"/>
      <c r="K49" s="1776"/>
      <c r="L49" s="1776"/>
      <c r="M49" s="1799"/>
      <c r="N49" s="1799"/>
      <c r="O49" s="1068"/>
    </row>
    <row r="50" spans="3:15">
      <c r="C50" s="1795" t="s">
        <v>619</v>
      </c>
      <c r="D50" s="1801"/>
      <c r="E50" s="1063" t="s">
        <v>826</v>
      </c>
      <c r="F50" s="1064"/>
      <c r="G50" s="1063" t="s">
        <v>1270</v>
      </c>
      <c r="H50" s="1065">
        <v>0</v>
      </c>
      <c r="I50" s="1066" t="s">
        <v>1271</v>
      </c>
      <c r="J50" s="1797">
        <v>-43206085.137345582</v>
      </c>
      <c r="K50" s="1797">
        <v>-9543222.1526544187</v>
      </c>
      <c r="L50" s="1776"/>
      <c r="M50" s="1799"/>
      <c r="N50" s="1799"/>
      <c r="O50" s="1068"/>
    </row>
    <row r="51" spans="3:15">
      <c r="C51" s="1795" t="s">
        <v>619</v>
      </c>
      <c r="D51" s="1801"/>
      <c r="E51" s="1063" t="s">
        <v>826</v>
      </c>
      <c r="F51" s="1064"/>
      <c r="G51" s="1063" t="s">
        <v>1522</v>
      </c>
      <c r="H51" s="1065">
        <v>-8526010.9499999993</v>
      </c>
      <c r="I51" s="1066"/>
      <c r="J51" s="1776"/>
      <c r="K51" s="1776"/>
      <c r="L51" s="1776"/>
      <c r="M51" s="1799"/>
      <c r="N51" s="1799"/>
      <c r="O51" s="1068"/>
    </row>
    <row r="52" spans="3:15">
      <c r="C52" s="1795" t="s">
        <v>619</v>
      </c>
      <c r="D52" s="1801"/>
      <c r="E52" s="1063" t="s">
        <v>826</v>
      </c>
      <c r="F52" s="1064"/>
      <c r="G52" s="1063" t="s">
        <v>1523</v>
      </c>
      <c r="H52" s="1065">
        <v>-3912478.17</v>
      </c>
      <c r="I52" s="1066"/>
      <c r="J52" s="1776"/>
      <c r="K52" s="1776"/>
      <c r="L52" s="1776"/>
      <c r="M52" s="1799"/>
      <c r="N52" s="1799"/>
      <c r="O52" s="1068"/>
    </row>
    <row r="53" spans="3:15">
      <c r="C53" s="1795" t="s">
        <v>619</v>
      </c>
      <c r="D53" s="1801"/>
      <c r="E53" s="1063" t="s">
        <v>826</v>
      </c>
      <c r="F53" s="1064"/>
      <c r="G53" s="1063" t="s">
        <v>1524</v>
      </c>
      <c r="H53" s="1065">
        <v>-16327546.52</v>
      </c>
      <c r="I53" s="1066"/>
      <c r="J53" s="1776"/>
      <c r="K53" s="1776"/>
      <c r="L53" s="1776"/>
      <c r="M53" s="1799"/>
      <c r="N53" s="1799"/>
      <c r="O53" s="1068"/>
    </row>
    <row r="54" spans="3:15">
      <c r="C54" s="1795" t="s">
        <v>619</v>
      </c>
      <c r="D54" s="1801"/>
      <c r="E54" s="1063" t="s">
        <v>826</v>
      </c>
      <c r="F54" s="1064"/>
      <c r="G54" s="1063" t="s">
        <v>1525</v>
      </c>
      <c r="H54" s="1065">
        <v>-23983271.649999999</v>
      </c>
      <c r="I54" s="1066"/>
      <c r="J54" s="1776"/>
      <c r="K54" s="1776"/>
      <c r="L54" s="1776"/>
      <c r="M54" s="1799"/>
      <c r="N54" s="1799"/>
      <c r="O54" s="1068"/>
    </row>
    <row r="55" spans="3:15">
      <c r="C55" s="1795"/>
      <c r="D55" s="1796"/>
      <c r="E55" s="1795"/>
      <c r="G55" s="1101"/>
      <c r="H55" s="1797"/>
      <c r="I55" s="1798"/>
      <c r="J55" s="1799"/>
      <c r="K55" s="1776"/>
      <c r="L55" s="1776"/>
      <c r="M55" s="1799"/>
      <c r="N55" s="1799"/>
      <c r="O55" s="1068"/>
    </row>
    <row r="56" spans="3:15">
      <c r="C56" s="1795"/>
      <c r="D56" s="1796"/>
      <c r="E56" s="1795"/>
      <c r="G56" s="1063"/>
      <c r="H56" s="1065"/>
      <c r="I56" s="1798"/>
      <c r="J56" s="1065"/>
      <c r="K56" s="1065"/>
      <c r="L56" s="1065"/>
      <c r="M56" s="1065"/>
      <c r="N56" s="1065"/>
      <c r="O56" s="1068"/>
    </row>
    <row r="57" spans="3:15">
      <c r="C57" s="1795"/>
      <c r="D57" s="1796"/>
      <c r="E57" s="1795"/>
      <c r="G57" s="1800"/>
      <c r="H57" s="1797"/>
      <c r="I57" s="1798"/>
      <c r="J57" s="1799" t="str">
        <f t="shared" ref="J57:J58" si="7">IF(I57="e",H57," ")</f>
        <v xml:space="preserve"> </v>
      </c>
      <c r="K57" s="1776" t="str">
        <f t="shared" si="1"/>
        <v xml:space="preserve"> </v>
      </c>
      <c r="L57" s="1776" t="str">
        <f t="shared" si="2"/>
        <v xml:space="preserve"> </v>
      </c>
      <c r="M57" s="1799" t="str">
        <f t="shared" si="3"/>
        <v xml:space="preserve"> </v>
      </c>
      <c r="N57" s="1799" t="str">
        <f t="shared" ref="N57:N58" si="8">IF(I57="Labor",H57," ")</f>
        <v xml:space="preserve"> </v>
      </c>
      <c r="O57" s="1068"/>
    </row>
    <row r="58" spans="3:15">
      <c r="C58" s="1074"/>
      <c r="D58" s="1802"/>
      <c r="E58" s="1074"/>
      <c r="G58" s="1074"/>
      <c r="H58" s="965"/>
      <c r="I58" s="1076"/>
      <c r="J58" s="1799" t="str">
        <f t="shared" si="7"/>
        <v xml:space="preserve"> </v>
      </c>
      <c r="K58" s="1776" t="str">
        <f t="shared" si="1"/>
        <v xml:space="preserve"> </v>
      </c>
      <c r="L58" s="1776" t="str">
        <f t="shared" si="2"/>
        <v xml:space="preserve"> </v>
      </c>
      <c r="M58" s="1799" t="str">
        <f t="shared" si="3"/>
        <v xml:space="preserve"> </v>
      </c>
      <c r="N58" s="1799" t="str">
        <f t="shared" si="8"/>
        <v xml:space="preserve"> </v>
      </c>
      <c r="O58" s="1068"/>
    </row>
    <row r="59" spans="3:15">
      <c r="C59" s="1058">
        <v>282.10000000000002</v>
      </c>
      <c r="D59" s="791"/>
      <c r="G59" s="1077" t="s">
        <v>161</v>
      </c>
      <c r="H59" s="1078">
        <f>SUM(H11:H58)</f>
        <v>-1379349323.4800003</v>
      </c>
      <c r="I59" s="1776"/>
      <c r="J59" s="1078">
        <f>SUM(J11:J58)</f>
        <v>-451558696.84734559</v>
      </c>
      <c r="K59" s="1078">
        <f>SUM(K11:K58)</f>
        <v>-100073878.15265442</v>
      </c>
      <c r="L59" s="1078">
        <f>SUM(L11:L58)</f>
        <v>-817363983.74000001</v>
      </c>
      <c r="M59" s="1078">
        <f>SUM(M11:M58)</f>
        <v>0</v>
      </c>
      <c r="N59" s="1078">
        <f>SUM(N11:N58)</f>
        <v>-10352764.74</v>
      </c>
      <c r="O59" s="1068"/>
    </row>
    <row r="60" spans="3:15" ht="25.5">
      <c r="G60" s="1803" t="s">
        <v>171</v>
      </c>
      <c r="H60" s="1797">
        <v>-1379349323</v>
      </c>
      <c r="I60" s="1776"/>
      <c r="J60" s="1804"/>
      <c r="K60" s="1776"/>
      <c r="L60" s="1776"/>
      <c r="M60" s="1776"/>
      <c r="N60" s="1776"/>
    </row>
    <row r="61" spans="3:15">
      <c r="H61" s="1805"/>
      <c r="I61" s="1776"/>
      <c r="J61" s="1776"/>
      <c r="K61" s="1776"/>
      <c r="L61" s="1776"/>
      <c r="M61" s="1776"/>
      <c r="N61" s="1776"/>
    </row>
    <row r="62" spans="3:15">
      <c r="H62" s="1805"/>
      <c r="I62" s="1776"/>
      <c r="J62" s="1776"/>
      <c r="K62" s="1776"/>
      <c r="L62" s="1776"/>
      <c r="M62" s="1776"/>
      <c r="N62" s="1776"/>
    </row>
    <row r="63" spans="3:15">
      <c r="C63" s="1061" t="s">
        <v>650</v>
      </c>
      <c r="D63" s="1806" t="s">
        <v>339</v>
      </c>
      <c r="E63" s="1063" t="s">
        <v>972</v>
      </c>
      <c r="F63" s="1064"/>
      <c r="G63" s="1063" t="s">
        <v>1526</v>
      </c>
      <c r="H63" s="1065">
        <v>-900163.63</v>
      </c>
      <c r="I63" s="1066" t="s">
        <v>293</v>
      </c>
      <c r="J63" s="1799">
        <f t="shared" ref="J63:J88" si="9">IF(I63="e",H63," ")</f>
        <v>-900163.63</v>
      </c>
      <c r="K63" s="1776" t="str">
        <f t="shared" ref="K63:K114" si="10">IF($I63="T",$H63," ")</f>
        <v xml:space="preserve"> </v>
      </c>
      <c r="L63" s="1776" t="str">
        <f t="shared" ref="L63:L115" si="11">IF($I63="PTD",$H63," ")</f>
        <v xml:space="preserve"> </v>
      </c>
      <c r="M63" s="1799" t="str">
        <f t="shared" ref="M63:M115" si="12">IF($I63="T&amp;D",$H63," ")</f>
        <v xml:space="preserve"> </v>
      </c>
      <c r="N63" s="1799" t="str">
        <f t="shared" ref="N63:N88" si="13">IF(I63="Labor",H63," ")</f>
        <v xml:space="preserve"> </v>
      </c>
    </row>
    <row r="64" spans="3:15">
      <c r="C64" s="1061" t="s">
        <v>650</v>
      </c>
      <c r="D64" s="1806" t="s">
        <v>339</v>
      </c>
      <c r="E64" s="1063" t="s">
        <v>972</v>
      </c>
      <c r="F64" s="1064"/>
      <c r="G64" s="1063" t="s">
        <v>1527</v>
      </c>
      <c r="H64" s="1065">
        <v>-8678376.209999999</v>
      </c>
      <c r="I64" s="1066" t="s">
        <v>293</v>
      </c>
      <c r="J64" s="1799">
        <f t="shared" ref="J64:J65" si="14">IF(I64="e",H64," ")</f>
        <v>-8678376.209999999</v>
      </c>
      <c r="K64" s="1776" t="str">
        <f t="shared" si="10"/>
        <v xml:space="preserve"> </v>
      </c>
      <c r="L64" s="1776" t="str">
        <f t="shared" si="11"/>
        <v xml:space="preserve"> </v>
      </c>
      <c r="M64" s="1799" t="str">
        <f t="shared" si="12"/>
        <v xml:space="preserve"> </v>
      </c>
      <c r="N64" s="1799" t="str">
        <f t="shared" ref="N64:N65" si="15">IF(I64="Labor",H64," ")</f>
        <v xml:space="preserve"> </v>
      </c>
    </row>
    <row r="65" spans="3:14">
      <c r="C65" s="1061" t="s">
        <v>650</v>
      </c>
      <c r="D65" s="1806" t="s">
        <v>339</v>
      </c>
      <c r="E65" s="1063" t="s">
        <v>972</v>
      </c>
      <c r="F65" s="1064"/>
      <c r="G65" s="1063" t="s">
        <v>1528</v>
      </c>
      <c r="H65" s="1065">
        <v>-51394.910000000011</v>
      </c>
      <c r="I65" s="1066" t="s">
        <v>293</v>
      </c>
      <c r="J65" s="1799">
        <f t="shared" si="14"/>
        <v>-51394.910000000011</v>
      </c>
      <c r="K65" s="1776" t="str">
        <f t="shared" si="10"/>
        <v xml:space="preserve"> </v>
      </c>
      <c r="L65" s="1776" t="str">
        <f t="shared" si="11"/>
        <v xml:space="preserve"> </v>
      </c>
      <c r="M65" s="1799" t="str">
        <f t="shared" si="12"/>
        <v xml:space="preserve"> </v>
      </c>
      <c r="N65" s="1799" t="str">
        <f t="shared" si="15"/>
        <v xml:space="preserve"> </v>
      </c>
    </row>
    <row r="66" spans="3:14">
      <c r="C66" s="1061" t="s">
        <v>650</v>
      </c>
      <c r="D66" s="1806"/>
      <c r="E66" s="1063" t="s">
        <v>1530</v>
      </c>
      <c r="F66" s="1064"/>
      <c r="G66" s="1063" t="s">
        <v>1529</v>
      </c>
      <c r="H66" s="1065">
        <v>0</v>
      </c>
      <c r="I66" s="1066" t="s">
        <v>293</v>
      </c>
      <c r="J66" s="1799">
        <f t="shared" ref="J66" si="16">IF(I66="e",H66," ")</f>
        <v>0</v>
      </c>
      <c r="K66" s="1776"/>
      <c r="L66" s="1776"/>
      <c r="M66" s="1799"/>
      <c r="N66" s="1799"/>
    </row>
    <row r="67" spans="3:14">
      <c r="C67" s="1061" t="s">
        <v>650</v>
      </c>
      <c r="D67" s="1806"/>
      <c r="E67" s="1063" t="s">
        <v>973</v>
      </c>
      <c r="F67" s="1064"/>
      <c r="G67" s="1063" t="s">
        <v>652</v>
      </c>
      <c r="H67" s="1065">
        <v>25411.010000000009</v>
      </c>
      <c r="I67" s="1066" t="s">
        <v>293</v>
      </c>
      <c r="J67" s="1799">
        <f t="shared" si="9"/>
        <v>25411.010000000009</v>
      </c>
      <c r="K67" s="1776" t="str">
        <f t="shared" si="10"/>
        <v xml:space="preserve"> </v>
      </c>
      <c r="L67" s="1776" t="str">
        <f t="shared" si="11"/>
        <v xml:space="preserve"> </v>
      </c>
      <c r="M67" s="1799" t="str">
        <f t="shared" si="12"/>
        <v xml:space="preserve"> </v>
      </c>
      <c r="N67" s="1799" t="str">
        <f t="shared" si="13"/>
        <v xml:space="preserve"> </v>
      </c>
    </row>
    <row r="68" spans="3:14">
      <c r="C68" s="1061" t="s">
        <v>650</v>
      </c>
      <c r="D68" s="1806"/>
      <c r="E68" s="1063" t="s">
        <v>974</v>
      </c>
      <c r="F68" s="1064"/>
      <c r="G68" s="1063" t="s">
        <v>653</v>
      </c>
      <c r="H68" s="1065">
        <v>-3333.49</v>
      </c>
      <c r="I68" s="1066" t="s">
        <v>293</v>
      </c>
      <c r="J68" s="1799">
        <f t="shared" si="9"/>
        <v>-3333.49</v>
      </c>
      <c r="K68" s="1776" t="str">
        <f t="shared" si="10"/>
        <v xml:space="preserve"> </v>
      </c>
      <c r="L68" s="1776" t="str">
        <f t="shared" si="11"/>
        <v xml:space="preserve"> </v>
      </c>
      <c r="M68" s="1799" t="str">
        <f t="shared" si="12"/>
        <v xml:space="preserve"> </v>
      </c>
      <c r="N68" s="1799" t="str">
        <f t="shared" si="13"/>
        <v xml:space="preserve"> </v>
      </c>
    </row>
    <row r="69" spans="3:14">
      <c r="C69" s="1061" t="s">
        <v>650</v>
      </c>
      <c r="D69" s="1806" t="s">
        <v>339</v>
      </c>
      <c r="E69" s="1063" t="s">
        <v>975</v>
      </c>
      <c r="F69" s="1064"/>
      <c r="G69" s="1063" t="s">
        <v>654</v>
      </c>
      <c r="H69" s="1065">
        <v>0</v>
      </c>
      <c r="I69" s="1066" t="s">
        <v>293</v>
      </c>
      <c r="J69" s="1799">
        <f t="shared" si="9"/>
        <v>0</v>
      </c>
      <c r="K69" s="1776" t="str">
        <f t="shared" si="10"/>
        <v xml:space="preserve"> </v>
      </c>
      <c r="L69" s="1776" t="str">
        <f t="shared" si="11"/>
        <v xml:space="preserve"> </v>
      </c>
      <c r="M69" s="1799" t="str">
        <f t="shared" si="12"/>
        <v xml:space="preserve"> </v>
      </c>
      <c r="N69" s="1799" t="str">
        <f t="shared" si="13"/>
        <v xml:space="preserve"> </v>
      </c>
    </row>
    <row r="70" spans="3:14">
      <c r="C70" s="1061" t="s">
        <v>650</v>
      </c>
      <c r="D70" s="1806" t="s">
        <v>339</v>
      </c>
      <c r="E70" s="1063" t="s">
        <v>976</v>
      </c>
      <c r="F70" s="1064"/>
      <c r="G70" s="1063" t="s">
        <v>655</v>
      </c>
      <c r="H70" s="1065">
        <v>-16606914.680000002</v>
      </c>
      <c r="I70" s="1066" t="s">
        <v>302</v>
      </c>
      <c r="J70" s="1799" t="str">
        <f t="shared" si="9"/>
        <v xml:space="preserve"> </v>
      </c>
      <c r="K70" s="1776" t="str">
        <f t="shared" si="10"/>
        <v xml:space="preserve"> </v>
      </c>
      <c r="L70" s="1776" t="str">
        <f t="shared" si="11"/>
        <v xml:space="preserve"> </v>
      </c>
      <c r="M70" s="1799" t="str">
        <f t="shared" si="12"/>
        <v xml:space="preserve"> </v>
      </c>
      <c r="N70" s="1799">
        <f t="shared" si="13"/>
        <v>-16606914.680000002</v>
      </c>
    </row>
    <row r="71" spans="3:14">
      <c r="C71" s="1061" t="s">
        <v>650</v>
      </c>
      <c r="D71" s="1806" t="s">
        <v>339</v>
      </c>
      <c r="E71" s="1063" t="s">
        <v>977</v>
      </c>
      <c r="F71" s="1064"/>
      <c r="G71" s="1063" t="s">
        <v>656</v>
      </c>
      <c r="H71" s="1065">
        <v>20289548.280000001</v>
      </c>
      <c r="I71" s="1066" t="s">
        <v>293</v>
      </c>
      <c r="J71" s="1799">
        <f t="shared" si="9"/>
        <v>20289548.280000001</v>
      </c>
      <c r="K71" s="1776" t="str">
        <f t="shared" si="10"/>
        <v xml:space="preserve"> </v>
      </c>
      <c r="L71" s="1776" t="str">
        <f t="shared" si="11"/>
        <v xml:space="preserve"> </v>
      </c>
      <c r="M71" s="1799" t="str">
        <f t="shared" si="12"/>
        <v xml:space="preserve"> </v>
      </c>
      <c r="N71" s="1799" t="str">
        <f t="shared" si="13"/>
        <v xml:space="preserve"> </v>
      </c>
    </row>
    <row r="72" spans="3:14">
      <c r="C72" s="1061" t="s">
        <v>650</v>
      </c>
      <c r="D72" s="1806" t="s">
        <v>339</v>
      </c>
      <c r="E72" s="1063" t="s">
        <v>1531</v>
      </c>
      <c r="F72" s="1064"/>
      <c r="G72" s="1063" t="s">
        <v>1532</v>
      </c>
      <c r="H72" s="1065">
        <v>-0.01</v>
      </c>
      <c r="I72" s="1066" t="s">
        <v>293</v>
      </c>
      <c r="J72" s="1799">
        <f t="shared" ref="J72" si="17">IF(I72="e",H72," ")</f>
        <v>-0.01</v>
      </c>
      <c r="K72" s="1776" t="str">
        <f t="shared" si="10"/>
        <v xml:space="preserve"> </v>
      </c>
      <c r="L72" s="1776" t="str">
        <f t="shared" si="11"/>
        <v xml:space="preserve"> </v>
      </c>
      <c r="M72" s="1799" t="str">
        <f t="shared" si="12"/>
        <v xml:space="preserve"> </v>
      </c>
      <c r="N72" s="1799" t="str">
        <f t="shared" ref="N72" si="18">IF(I72="Labor",H72," ")</f>
        <v xml:space="preserve"> </v>
      </c>
    </row>
    <row r="73" spans="3:14">
      <c r="C73" s="1061" t="s">
        <v>650</v>
      </c>
      <c r="D73" s="1806" t="s">
        <v>339</v>
      </c>
      <c r="E73" s="1063" t="s">
        <v>978</v>
      </c>
      <c r="F73" s="1064"/>
      <c r="G73" s="1063" t="s">
        <v>657</v>
      </c>
      <c r="H73" s="1065">
        <v>4.21</v>
      </c>
      <c r="I73" s="1066" t="s">
        <v>160</v>
      </c>
      <c r="J73" s="1799" t="str">
        <f t="shared" si="9"/>
        <v xml:space="preserve"> </v>
      </c>
      <c r="K73" s="1776" t="str">
        <f t="shared" si="10"/>
        <v xml:space="preserve"> </v>
      </c>
      <c r="L73" s="1776">
        <f t="shared" si="11"/>
        <v>4.21</v>
      </c>
      <c r="M73" s="1799" t="str">
        <f t="shared" si="12"/>
        <v xml:space="preserve"> </v>
      </c>
      <c r="N73" s="1799" t="str">
        <f t="shared" si="13"/>
        <v xml:space="preserve"> </v>
      </c>
    </row>
    <row r="74" spans="3:14">
      <c r="C74" s="1061" t="s">
        <v>650</v>
      </c>
      <c r="D74" s="1806" t="s">
        <v>339</v>
      </c>
      <c r="E74" s="1063" t="s">
        <v>979</v>
      </c>
      <c r="F74" s="1064"/>
      <c r="G74" s="1063" t="s">
        <v>658</v>
      </c>
      <c r="H74" s="1065">
        <v>-1208134.28</v>
      </c>
      <c r="I74" s="1066" t="s">
        <v>293</v>
      </c>
      <c r="J74" s="1799">
        <f t="shared" si="9"/>
        <v>-1208134.28</v>
      </c>
      <c r="K74" s="1776" t="str">
        <f t="shared" si="10"/>
        <v xml:space="preserve"> </v>
      </c>
      <c r="L74" s="1776" t="str">
        <f t="shared" si="11"/>
        <v xml:space="preserve"> </v>
      </c>
      <c r="M74" s="1799" t="str">
        <f t="shared" si="12"/>
        <v xml:space="preserve"> </v>
      </c>
      <c r="N74" s="1799" t="str">
        <f t="shared" si="13"/>
        <v xml:space="preserve"> </v>
      </c>
    </row>
    <row r="75" spans="3:14">
      <c r="C75" s="1061" t="s">
        <v>650</v>
      </c>
      <c r="D75" s="1806" t="s">
        <v>339</v>
      </c>
      <c r="E75" s="1063" t="s">
        <v>980</v>
      </c>
      <c r="F75" s="1064"/>
      <c r="G75" s="1063" t="s">
        <v>659</v>
      </c>
      <c r="H75" s="1065">
        <v>-0.01</v>
      </c>
      <c r="I75" s="1066" t="s">
        <v>293</v>
      </c>
      <c r="J75" s="1799">
        <f t="shared" si="9"/>
        <v>-0.01</v>
      </c>
      <c r="K75" s="1776" t="str">
        <f t="shared" si="10"/>
        <v xml:space="preserve"> </v>
      </c>
      <c r="L75" s="1776" t="str">
        <f t="shared" si="11"/>
        <v xml:space="preserve"> </v>
      </c>
      <c r="M75" s="1799" t="str">
        <f t="shared" si="12"/>
        <v xml:space="preserve"> </v>
      </c>
      <c r="N75" s="1799" t="str">
        <f t="shared" si="13"/>
        <v xml:space="preserve"> </v>
      </c>
    </row>
    <row r="76" spans="3:14">
      <c r="C76" s="1061" t="s">
        <v>650</v>
      </c>
      <c r="D76" s="1806" t="s">
        <v>339</v>
      </c>
      <c r="E76" s="1063" t="s">
        <v>981</v>
      </c>
      <c r="F76" s="1064"/>
      <c r="G76" s="1063" t="s">
        <v>660</v>
      </c>
      <c r="H76" s="1065">
        <v>17342.349999999999</v>
      </c>
      <c r="I76" s="1066" t="s">
        <v>293</v>
      </c>
      <c r="J76" s="1799">
        <f t="shared" si="9"/>
        <v>17342.349999999999</v>
      </c>
      <c r="K76" s="1776" t="str">
        <f t="shared" si="10"/>
        <v xml:space="preserve"> </v>
      </c>
      <c r="L76" s="1776" t="str">
        <f t="shared" si="11"/>
        <v xml:space="preserve"> </v>
      </c>
      <c r="M76" s="1799" t="str">
        <f t="shared" si="12"/>
        <v xml:space="preserve"> </v>
      </c>
      <c r="N76" s="1799" t="str">
        <f t="shared" si="13"/>
        <v xml:space="preserve"> </v>
      </c>
    </row>
    <row r="77" spans="3:14">
      <c r="C77" s="1061" t="s">
        <v>650</v>
      </c>
      <c r="D77" s="1806" t="s">
        <v>339</v>
      </c>
      <c r="E77" s="1063" t="s">
        <v>982</v>
      </c>
      <c r="F77" s="1064"/>
      <c r="G77" s="1063" t="s">
        <v>661</v>
      </c>
      <c r="H77" s="1065">
        <v>0.03</v>
      </c>
      <c r="I77" s="1066" t="s">
        <v>293</v>
      </c>
      <c r="J77" s="1799">
        <f t="shared" si="9"/>
        <v>0.03</v>
      </c>
      <c r="K77" s="1776" t="str">
        <f t="shared" si="10"/>
        <v xml:space="preserve"> </v>
      </c>
      <c r="L77" s="1776" t="str">
        <f t="shared" si="11"/>
        <v xml:space="preserve"> </v>
      </c>
      <c r="M77" s="1799" t="str">
        <f t="shared" si="12"/>
        <v xml:space="preserve"> </v>
      </c>
      <c r="N77" s="1799" t="str">
        <f t="shared" si="13"/>
        <v xml:space="preserve"> </v>
      </c>
    </row>
    <row r="78" spans="3:14">
      <c r="C78" s="1061" t="s">
        <v>650</v>
      </c>
      <c r="D78" s="1806" t="s">
        <v>339</v>
      </c>
      <c r="E78" s="1063" t="s">
        <v>983</v>
      </c>
      <c r="F78" s="1064"/>
      <c r="G78" s="1063" t="s">
        <v>662</v>
      </c>
      <c r="H78" s="1065">
        <v>-1221642.4000000001</v>
      </c>
      <c r="I78" s="1066" t="s">
        <v>293</v>
      </c>
      <c r="J78" s="1799">
        <f t="shared" si="9"/>
        <v>-1221642.4000000001</v>
      </c>
      <c r="K78" s="1776" t="str">
        <f t="shared" si="10"/>
        <v xml:space="preserve"> </v>
      </c>
      <c r="L78" s="1776" t="str">
        <f t="shared" si="11"/>
        <v xml:space="preserve"> </v>
      </c>
      <c r="M78" s="1799" t="str">
        <f t="shared" si="12"/>
        <v xml:space="preserve"> </v>
      </c>
      <c r="N78" s="1799" t="str">
        <f t="shared" si="13"/>
        <v xml:space="preserve"> </v>
      </c>
    </row>
    <row r="79" spans="3:14">
      <c r="C79" s="1061" t="s">
        <v>650</v>
      </c>
      <c r="D79" s="1806" t="s">
        <v>339</v>
      </c>
      <c r="E79" s="1063" t="s">
        <v>1533</v>
      </c>
      <c r="F79" s="1064"/>
      <c r="G79" s="1063" t="s">
        <v>1534</v>
      </c>
      <c r="H79" s="1065">
        <v>-0.01</v>
      </c>
      <c r="I79" s="1066" t="s">
        <v>293</v>
      </c>
      <c r="J79" s="1799">
        <f t="shared" ref="J79" si="19">IF(I79="e",H79," ")</f>
        <v>-0.01</v>
      </c>
      <c r="K79" s="1776" t="str">
        <f t="shared" si="10"/>
        <v xml:space="preserve"> </v>
      </c>
      <c r="L79" s="1776" t="str">
        <f t="shared" si="11"/>
        <v xml:space="preserve"> </v>
      </c>
      <c r="M79" s="1799" t="str">
        <f t="shared" si="12"/>
        <v xml:space="preserve"> </v>
      </c>
      <c r="N79" s="1799" t="str">
        <f t="shared" ref="N79" si="20">IF(I79="Labor",H79," ")</f>
        <v xml:space="preserve"> </v>
      </c>
    </row>
    <row r="80" spans="3:14">
      <c r="C80" s="1061" t="s">
        <v>650</v>
      </c>
      <c r="D80" s="1806" t="s">
        <v>339</v>
      </c>
      <c r="E80" s="1063" t="s">
        <v>984</v>
      </c>
      <c r="F80" s="1064"/>
      <c r="G80" s="1063" t="s">
        <v>663</v>
      </c>
      <c r="H80" s="1065">
        <v>-20289548.580000002</v>
      </c>
      <c r="I80" s="1066" t="s">
        <v>293</v>
      </c>
      <c r="J80" s="1799">
        <f t="shared" si="9"/>
        <v>-20289548.580000002</v>
      </c>
      <c r="K80" s="1776" t="str">
        <f t="shared" si="10"/>
        <v xml:space="preserve"> </v>
      </c>
      <c r="L80" s="1776" t="str">
        <f t="shared" si="11"/>
        <v xml:space="preserve"> </v>
      </c>
      <c r="M80" s="1799" t="str">
        <f t="shared" si="12"/>
        <v xml:space="preserve"> </v>
      </c>
      <c r="N80" s="1799" t="str">
        <f t="shared" si="13"/>
        <v xml:space="preserve"> </v>
      </c>
    </row>
    <row r="81" spans="3:14">
      <c r="C81" s="1061" t="s">
        <v>650</v>
      </c>
      <c r="D81" s="1806" t="s">
        <v>339</v>
      </c>
      <c r="E81" s="1063" t="s">
        <v>985</v>
      </c>
      <c r="F81" s="1064"/>
      <c r="G81" s="1063" t="s">
        <v>664</v>
      </c>
      <c r="H81" s="1065">
        <v>-159311.03999999995</v>
      </c>
      <c r="I81" s="1066" t="s">
        <v>293</v>
      </c>
      <c r="J81" s="1799">
        <f t="shared" si="9"/>
        <v>-159311.03999999995</v>
      </c>
      <c r="K81" s="1776" t="str">
        <f t="shared" si="10"/>
        <v xml:space="preserve"> </v>
      </c>
      <c r="L81" s="1776" t="str">
        <f t="shared" si="11"/>
        <v xml:space="preserve"> </v>
      </c>
      <c r="M81" s="1799" t="str">
        <f t="shared" si="12"/>
        <v xml:space="preserve"> </v>
      </c>
      <c r="N81" s="1799" t="str">
        <f t="shared" si="13"/>
        <v xml:space="preserve"> </v>
      </c>
    </row>
    <row r="82" spans="3:14">
      <c r="C82" s="1061" t="s">
        <v>650</v>
      </c>
      <c r="D82" s="1806" t="s">
        <v>339</v>
      </c>
      <c r="E82" s="1063" t="s">
        <v>986</v>
      </c>
      <c r="F82" s="1064"/>
      <c r="G82" s="1063" t="s">
        <v>665</v>
      </c>
      <c r="H82" s="1065">
        <v>-1029276.6200000001</v>
      </c>
      <c r="I82" s="1066" t="s">
        <v>293</v>
      </c>
      <c r="J82" s="1799">
        <f t="shared" si="9"/>
        <v>-1029276.6200000001</v>
      </c>
      <c r="K82" s="1776" t="str">
        <f t="shared" si="10"/>
        <v xml:space="preserve"> </v>
      </c>
      <c r="L82" s="1776" t="str">
        <f t="shared" si="11"/>
        <v xml:space="preserve"> </v>
      </c>
      <c r="M82" s="1799" t="str">
        <f t="shared" si="12"/>
        <v xml:space="preserve"> </v>
      </c>
      <c r="N82" s="1799" t="str">
        <f t="shared" si="13"/>
        <v xml:space="preserve"> </v>
      </c>
    </row>
    <row r="83" spans="3:14">
      <c r="C83" s="1061" t="s">
        <v>650</v>
      </c>
      <c r="D83" s="1806" t="s">
        <v>339</v>
      </c>
      <c r="E83" s="1063" t="s">
        <v>987</v>
      </c>
      <c r="F83" s="1064"/>
      <c r="G83" s="1063" t="s">
        <v>666</v>
      </c>
      <c r="H83" s="1065">
        <v>-28078.28</v>
      </c>
      <c r="I83" s="1066" t="s">
        <v>293</v>
      </c>
      <c r="J83" s="1799">
        <f t="shared" si="9"/>
        <v>-28078.28</v>
      </c>
      <c r="K83" s="1776" t="str">
        <f t="shared" si="10"/>
        <v xml:space="preserve"> </v>
      </c>
      <c r="L83" s="1776" t="str">
        <f t="shared" si="11"/>
        <v xml:space="preserve"> </v>
      </c>
      <c r="M83" s="1799" t="str">
        <f t="shared" si="12"/>
        <v xml:space="preserve"> </v>
      </c>
      <c r="N83" s="1799" t="str">
        <f t="shared" si="13"/>
        <v xml:space="preserve"> </v>
      </c>
    </row>
    <row r="84" spans="3:14">
      <c r="C84" s="1061" t="s">
        <v>650</v>
      </c>
      <c r="D84" s="1806" t="s">
        <v>339</v>
      </c>
      <c r="E84" s="1063" t="s">
        <v>988</v>
      </c>
      <c r="F84" s="1064"/>
      <c r="G84" s="1063" t="s">
        <v>667</v>
      </c>
      <c r="H84" s="1065">
        <v>0</v>
      </c>
      <c r="I84" s="1066" t="s">
        <v>293</v>
      </c>
      <c r="J84" s="1799">
        <f t="shared" si="9"/>
        <v>0</v>
      </c>
      <c r="K84" s="1776" t="str">
        <f t="shared" si="10"/>
        <v xml:space="preserve"> </v>
      </c>
      <c r="L84" s="1776" t="str">
        <f t="shared" si="11"/>
        <v xml:space="preserve"> </v>
      </c>
      <c r="M84" s="1799" t="str">
        <f t="shared" si="12"/>
        <v xml:space="preserve"> </v>
      </c>
      <c r="N84" s="1799" t="str">
        <f t="shared" si="13"/>
        <v xml:space="preserve"> </v>
      </c>
    </row>
    <row r="85" spans="3:14">
      <c r="C85" s="1061" t="s">
        <v>650</v>
      </c>
      <c r="D85" s="1806" t="s">
        <v>339</v>
      </c>
      <c r="E85" s="1063" t="s">
        <v>989</v>
      </c>
      <c r="F85" s="1064"/>
      <c r="G85" s="1063" t="s">
        <v>668</v>
      </c>
      <c r="H85" s="1065">
        <v>4.0000000000000008E-2</v>
      </c>
      <c r="I85" s="1066" t="s">
        <v>293</v>
      </c>
      <c r="J85" s="1799">
        <f t="shared" si="9"/>
        <v>4.0000000000000008E-2</v>
      </c>
      <c r="K85" s="1776" t="str">
        <f t="shared" si="10"/>
        <v xml:space="preserve"> </v>
      </c>
      <c r="L85" s="1776" t="str">
        <f t="shared" si="11"/>
        <v xml:space="preserve"> </v>
      </c>
      <c r="M85" s="1799" t="str">
        <f t="shared" si="12"/>
        <v xml:space="preserve"> </v>
      </c>
      <c r="N85" s="1799" t="str">
        <f t="shared" si="13"/>
        <v xml:space="preserve"> </v>
      </c>
    </row>
    <row r="86" spans="3:14">
      <c r="C86" s="1061" t="s">
        <v>650</v>
      </c>
      <c r="D86" s="1806" t="s">
        <v>339</v>
      </c>
      <c r="E86" s="1063" t="s">
        <v>990</v>
      </c>
      <c r="F86" s="1064"/>
      <c r="G86" s="1063" t="s">
        <v>669</v>
      </c>
      <c r="H86" s="1065">
        <v>-6.0000000000000005E-2</v>
      </c>
      <c r="I86" s="1066" t="s">
        <v>293</v>
      </c>
      <c r="J86" s="1799">
        <f t="shared" si="9"/>
        <v>-6.0000000000000005E-2</v>
      </c>
      <c r="K86" s="1776" t="str">
        <f t="shared" si="10"/>
        <v xml:space="preserve"> </v>
      </c>
      <c r="L86" s="1776" t="str">
        <f t="shared" si="11"/>
        <v xml:space="preserve"> </v>
      </c>
      <c r="M86" s="1799" t="str">
        <f t="shared" si="12"/>
        <v xml:space="preserve"> </v>
      </c>
      <c r="N86" s="1799" t="str">
        <f t="shared" si="13"/>
        <v xml:space="preserve"> </v>
      </c>
    </row>
    <row r="87" spans="3:14">
      <c r="C87" s="1061" t="s">
        <v>650</v>
      </c>
      <c r="D87" s="1806" t="s">
        <v>339</v>
      </c>
      <c r="E87" s="1063" t="s">
        <v>991</v>
      </c>
      <c r="F87" s="1064"/>
      <c r="G87" s="1063" t="s">
        <v>670</v>
      </c>
      <c r="H87" s="1065">
        <v>-93840.329999999987</v>
      </c>
      <c r="I87" s="1066" t="s">
        <v>293</v>
      </c>
      <c r="J87" s="1799">
        <f t="shared" si="9"/>
        <v>-93840.329999999987</v>
      </c>
      <c r="K87" s="1776" t="str">
        <f t="shared" si="10"/>
        <v xml:space="preserve"> </v>
      </c>
      <c r="L87" s="1776" t="str">
        <f t="shared" si="11"/>
        <v xml:space="preserve"> </v>
      </c>
      <c r="M87" s="1799" t="str">
        <f t="shared" si="12"/>
        <v xml:space="preserve"> </v>
      </c>
      <c r="N87" s="1799" t="str">
        <f t="shared" si="13"/>
        <v xml:space="preserve"> </v>
      </c>
    </row>
    <row r="88" spans="3:14">
      <c r="C88" s="1061" t="s">
        <v>650</v>
      </c>
      <c r="D88" s="1806" t="s">
        <v>339</v>
      </c>
      <c r="E88" s="1063" t="s">
        <v>992</v>
      </c>
      <c r="F88" s="1064"/>
      <c r="G88" s="1063" t="s">
        <v>671</v>
      </c>
      <c r="H88" s="1065">
        <v>-0.06</v>
      </c>
      <c r="I88" s="1066" t="s">
        <v>293</v>
      </c>
      <c r="J88" s="1799">
        <f t="shared" si="9"/>
        <v>-0.06</v>
      </c>
      <c r="K88" s="1776" t="str">
        <f t="shared" si="10"/>
        <v xml:space="preserve"> </v>
      </c>
      <c r="L88" s="1776" t="str">
        <f t="shared" si="11"/>
        <v xml:space="preserve"> </v>
      </c>
      <c r="M88" s="1799" t="str">
        <f t="shared" si="12"/>
        <v xml:space="preserve"> </v>
      </c>
      <c r="N88" s="1799" t="str">
        <f t="shared" si="13"/>
        <v xml:space="preserve"> </v>
      </c>
    </row>
    <row r="89" spans="3:14">
      <c r="C89" s="1061" t="s">
        <v>650</v>
      </c>
      <c r="D89" s="1806" t="s">
        <v>339</v>
      </c>
      <c r="E89" s="1063" t="s">
        <v>993</v>
      </c>
      <c r="F89" s="1064"/>
      <c r="G89" s="1063" t="s">
        <v>672</v>
      </c>
      <c r="H89" s="1065">
        <v>-25233.180000000004</v>
      </c>
      <c r="I89" s="1066" t="s">
        <v>293</v>
      </c>
      <c r="J89" s="1799">
        <f>IF(I89="e",H89," ")</f>
        <v>-25233.180000000004</v>
      </c>
      <c r="K89" s="1776" t="str">
        <f t="shared" si="10"/>
        <v xml:space="preserve"> </v>
      </c>
      <c r="L89" s="1776" t="str">
        <f t="shared" si="11"/>
        <v xml:space="preserve"> </v>
      </c>
      <c r="M89" s="1799" t="str">
        <f t="shared" si="12"/>
        <v xml:space="preserve"> </v>
      </c>
      <c r="N89" s="1799" t="str">
        <f>IF(I89="Labor",H89," ")</f>
        <v xml:space="preserve"> </v>
      </c>
    </row>
    <row r="90" spans="3:14">
      <c r="C90" s="1061" t="s">
        <v>650</v>
      </c>
      <c r="D90" s="1806" t="s">
        <v>339</v>
      </c>
      <c r="E90" s="1063" t="s">
        <v>1425</v>
      </c>
      <c r="F90" s="1064"/>
      <c r="G90" s="1063" t="s">
        <v>1535</v>
      </c>
      <c r="H90" s="1065">
        <v>-348789.17999999988</v>
      </c>
      <c r="I90" s="1066" t="s">
        <v>293</v>
      </c>
      <c r="J90" s="1799">
        <f>IF(I90="e",H90," ")</f>
        <v>-348789.17999999988</v>
      </c>
      <c r="K90" s="1776" t="str">
        <f t="shared" si="10"/>
        <v xml:space="preserve"> </v>
      </c>
      <c r="L90" s="1776" t="str">
        <f t="shared" si="11"/>
        <v xml:space="preserve"> </v>
      </c>
      <c r="M90" s="1799" t="str">
        <f t="shared" si="12"/>
        <v xml:space="preserve"> </v>
      </c>
      <c r="N90" s="1799" t="str">
        <f>IF(I90="Labor",H90," ")</f>
        <v xml:space="preserve"> </v>
      </c>
    </row>
    <row r="91" spans="3:14">
      <c r="C91" s="1061" t="s">
        <v>650</v>
      </c>
      <c r="D91" s="1806" t="s">
        <v>339</v>
      </c>
      <c r="E91" s="1063" t="s">
        <v>994</v>
      </c>
      <c r="F91" s="1064"/>
      <c r="G91" s="1063" t="s">
        <v>673</v>
      </c>
      <c r="H91" s="1065">
        <v>-313590.14999999997</v>
      </c>
      <c r="I91" s="1066" t="s">
        <v>293</v>
      </c>
      <c r="J91" s="1799">
        <f t="shared" ref="J91:J114" si="21">IF(I91="e",H91," ")</f>
        <v>-313590.14999999997</v>
      </c>
      <c r="K91" s="1776" t="str">
        <f t="shared" si="10"/>
        <v xml:space="preserve"> </v>
      </c>
      <c r="L91" s="1776" t="str">
        <f t="shared" si="11"/>
        <v xml:space="preserve"> </v>
      </c>
      <c r="M91" s="1799" t="str">
        <f t="shared" si="12"/>
        <v xml:space="preserve"> </v>
      </c>
      <c r="N91" s="1799" t="str">
        <f t="shared" ref="N91:N115" si="22">IF(I91="Labor",H91," ")</f>
        <v xml:space="preserve"> </v>
      </c>
    </row>
    <row r="92" spans="3:14">
      <c r="C92" s="1061" t="s">
        <v>650</v>
      </c>
      <c r="D92" s="1806" t="s">
        <v>339</v>
      </c>
      <c r="E92" s="1063" t="s">
        <v>995</v>
      </c>
      <c r="F92" s="1064"/>
      <c r="G92" s="1063" t="s">
        <v>674</v>
      </c>
      <c r="H92" s="1065">
        <v>9.9999999947613105E-3</v>
      </c>
      <c r="I92" s="1066" t="s">
        <v>293</v>
      </c>
      <c r="J92" s="1799">
        <f t="shared" si="21"/>
        <v>9.9999999947613105E-3</v>
      </c>
      <c r="K92" s="1776" t="str">
        <f t="shared" si="10"/>
        <v xml:space="preserve"> </v>
      </c>
      <c r="L92" s="1776" t="str">
        <f t="shared" si="11"/>
        <v xml:space="preserve"> </v>
      </c>
      <c r="M92" s="1799" t="str">
        <f t="shared" si="12"/>
        <v xml:space="preserve"> </v>
      </c>
      <c r="N92" s="1799" t="str">
        <f t="shared" si="22"/>
        <v xml:space="preserve"> </v>
      </c>
    </row>
    <row r="93" spans="3:14">
      <c r="C93" s="1061" t="s">
        <v>650</v>
      </c>
      <c r="D93" s="1806" t="s">
        <v>339</v>
      </c>
      <c r="E93" s="1063" t="s">
        <v>996</v>
      </c>
      <c r="F93" s="1064"/>
      <c r="G93" s="1063" t="s">
        <v>675</v>
      </c>
      <c r="H93" s="1065">
        <v>-640922.55000000005</v>
      </c>
      <c r="I93" s="1066" t="s">
        <v>293</v>
      </c>
      <c r="J93" s="1799">
        <f t="shared" ref="J93:J106" si="23">IF(I93="e",H93," ")</f>
        <v>-640922.55000000005</v>
      </c>
      <c r="K93" s="1776" t="str">
        <f t="shared" si="10"/>
        <v xml:space="preserve"> </v>
      </c>
      <c r="L93" s="1776" t="str">
        <f t="shared" si="11"/>
        <v xml:space="preserve"> </v>
      </c>
      <c r="M93" s="1799" t="str">
        <f t="shared" si="12"/>
        <v xml:space="preserve"> </v>
      </c>
      <c r="N93" s="1799" t="str">
        <f t="shared" ref="N93:N106" si="24">IF(I93="Labor",H93," ")</f>
        <v xml:space="preserve"> </v>
      </c>
    </row>
    <row r="94" spans="3:14">
      <c r="C94" s="1061" t="s">
        <v>650</v>
      </c>
      <c r="D94" s="1806" t="s">
        <v>339</v>
      </c>
      <c r="E94" s="1063" t="s">
        <v>997</v>
      </c>
      <c r="F94" s="1064"/>
      <c r="G94" s="1063" t="s">
        <v>676</v>
      </c>
      <c r="H94" s="1065">
        <v>-228626.12000000002</v>
      </c>
      <c r="I94" s="1066" t="s">
        <v>293</v>
      </c>
      <c r="J94" s="1799">
        <f t="shared" si="23"/>
        <v>-228626.12000000002</v>
      </c>
      <c r="K94" s="1776" t="str">
        <f t="shared" si="10"/>
        <v xml:space="preserve"> </v>
      </c>
      <c r="L94" s="1776" t="str">
        <f t="shared" si="11"/>
        <v xml:space="preserve"> </v>
      </c>
      <c r="M94" s="1799" t="str">
        <f t="shared" si="12"/>
        <v xml:space="preserve"> </v>
      </c>
      <c r="N94" s="1799" t="str">
        <f t="shared" si="24"/>
        <v xml:space="preserve"> </v>
      </c>
    </row>
    <row r="95" spans="3:14">
      <c r="C95" s="1061" t="s">
        <v>650</v>
      </c>
      <c r="D95" s="1806" t="s">
        <v>339</v>
      </c>
      <c r="E95" s="1063" t="s">
        <v>998</v>
      </c>
      <c r="F95" s="1064"/>
      <c r="G95" s="1063" t="s">
        <v>677</v>
      </c>
      <c r="H95" s="1065">
        <v>-4601547.5600000015</v>
      </c>
      <c r="I95" s="1066" t="s">
        <v>293</v>
      </c>
      <c r="J95" s="1799">
        <f t="shared" si="23"/>
        <v>-4601547.5600000015</v>
      </c>
      <c r="K95" s="1776" t="str">
        <f t="shared" si="10"/>
        <v xml:space="preserve"> </v>
      </c>
      <c r="L95" s="1776" t="str">
        <f t="shared" si="11"/>
        <v xml:space="preserve"> </v>
      </c>
      <c r="M95" s="1799" t="str">
        <f t="shared" si="12"/>
        <v xml:space="preserve"> </v>
      </c>
      <c r="N95" s="1799" t="str">
        <f t="shared" si="24"/>
        <v xml:space="preserve"> </v>
      </c>
    </row>
    <row r="96" spans="3:14">
      <c r="C96" s="1061" t="s">
        <v>650</v>
      </c>
      <c r="D96" s="1806" t="s">
        <v>339</v>
      </c>
      <c r="E96" s="1063" t="s">
        <v>999</v>
      </c>
      <c r="F96" s="1064"/>
      <c r="G96" s="1063" t="s">
        <v>678</v>
      </c>
      <c r="H96" s="1065">
        <v>1609491.1599999992</v>
      </c>
      <c r="I96" s="1066" t="s">
        <v>293</v>
      </c>
      <c r="J96" s="1799">
        <f t="shared" si="23"/>
        <v>1609491.1599999992</v>
      </c>
      <c r="K96" s="1776" t="str">
        <f t="shared" si="10"/>
        <v xml:space="preserve"> </v>
      </c>
      <c r="L96" s="1776" t="str">
        <f t="shared" si="11"/>
        <v xml:space="preserve"> </v>
      </c>
      <c r="M96" s="1799" t="str">
        <f t="shared" si="12"/>
        <v xml:space="preserve"> </v>
      </c>
      <c r="N96" s="1799" t="str">
        <f t="shared" si="24"/>
        <v xml:space="preserve"> </v>
      </c>
    </row>
    <row r="97" spans="3:14">
      <c r="C97" s="1061" t="s">
        <v>650</v>
      </c>
      <c r="D97" s="1806" t="s">
        <v>339</v>
      </c>
      <c r="E97" s="1063" t="s">
        <v>1427</v>
      </c>
      <c r="F97" s="1064"/>
      <c r="G97" s="1063" t="s">
        <v>1538</v>
      </c>
      <c r="H97" s="1065">
        <v>-958540.23999999964</v>
      </c>
      <c r="I97" s="1066" t="s">
        <v>293</v>
      </c>
      <c r="J97" s="1799">
        <f t="shared" ref="J97:J102" si="25">IF(I97="e",H97," ")</f>
        <v>-958540.23999999964</v>
      </c>
      <c r="K97" s="1776" t="str">
        <f t="shared" si="10"/>
        <v xml:space="preserve"> </v>
      </c>
      <c r="L97" s="1776" t="str">
        <f t="shared" si="11"/>
        <v xml:space="preserve"> </v>
      </c>
      <c r="M97" s="1799" t="str">
        <f t="shared" si="12"/>
        <v xml:space="preserve"> </v>
      </c>
      <c r="N97" s="1799" t="str">
        <f t="shared" ref="N97:N102" si="26">IF(I97="Labor",H97," ")</f>
        <v xml:space="preserve"> </v>
      </c>
    </row>
    <row r="98" spans="3:14">
      <c r="C98" s="1061" t="s">
        <v>650</v>
      </c>
      <c r="D98" s="1806" t="s">
        <v>339</v>
      </c>
      <c r="E98" s="1063" t="s">
        <v>1428</v>
      </c>
      <c r="F98" s="1064"/>
      <c r="G98" s="1063" t="s">
        <v>1539</v>
      </c>
      <c r="H98" s="1065">
        <v>52320.99000000002</v>
      </c>
      <c r="I98" s="1066" t="s">
        <v>293</v>
      </c>
      <c r="J98" s="1799">
        <f t="shared" si="25"/>
        <v>52320.99000000002</v>
      </c>
      <c r="K98" s="1776" t="str">
        <f t="shared" si="10"/>
        <v xml:space="preserve"> </v>
      </c>
      <c r="L98" s="1776" t="str">
        <f t="shared" si="11"/>
        <v xml:space="preserve"> </v>
      </c>
      <c r="M98" s="1799" t="str">
        <f t="shared" si="12"/>
        <v xml:space="preserve"> </v>
      </c>
      <c r="N98" s="1799" t="str">
        <f t="shared" si="26"/>
        <v xml:space="preserve"> </v>
      </c>
    </row>
    <row r="99" spans="3:14">
      <c r="C99" s="1061" t="s">
        <v>650</v>
      </c>
      <c r="D99" s="1806" t="s">
        <v>339</v>
      </c>
      <c r="E99" s="1063" t="s">
        <v>1429</v>
      </c>
      <c r="F99" s="1064"/>
      <c r="G99" s="1063" t="s">
        <v>1540</v>
      </c>
      <c r="H99" s="1065">
        <v>-3588224.79</v>
      </c>
      <c r="I99" s="1066" t="s">
        <v>293</v>
      </c>
      <c r="J99" s="1799">
        <f t="shared" si="25"/>
        <v>-3588224.79</v>
      </c>
      <c r="K99" s="1776" t="str">
        <f t="shared" si="10"/>
        <v xml:space="preserve"> </v>
      </c>
      <c r="L99" s="1776" t="str">
        <f t="shared" si="11"/>
        <v xml:space="preserve"> </v>
      </c>
      <c r="M99" s="1799" t="str">
        <f t="shared" si="12"/>
        <v xml:space="preserve"> </v>
      </c>
      <c r="N99" s="1799" t="str">
        <f t="shared" si="26"/>
        <v xml:space="preserve"> </v>
      </c>
    </row>
    <row r="100" spans="3:14">
      <c r="C100" s="1061" t="s">
        <v>650</v>
      </c>
      <c r="D100" s="1806" t="s">
        <v>339</v>
      </c>
      <c r="E100" s="1063" t="s">
        <v>1542</v>
      </c>
      <c r="F100" s="1064"/>
      <c r="G100" s="1063" t="s">
        <v>1541</v>
      </c>
      <c r="H100" s="1065">
        <v>-15160.95</v>
      </c>
      <c r="I100" s="1066" t="s">
        <v>293</v>
      </c>
      <c r="J100" s="1799">
        <f t="shared" ref="J100" si="27">IF(I100="e",H100," ")</f>
        <v>-15160.95</v>
      </c>
      <c r="K100" s="1776" t="str">
        <f t="shared" si="10"/>
        <v xml:space="preserve"> </v>
      </c>
      <c r="L100" s="1776" t="str">
        <f t="shared" si="11"/>
        <v xml:space="preserve"> </v>
      </c>
      <c r="M100" s="1799" t="str">
        <f t="shared" si="12"/>
        <v xml:space="preserve"> </v>
      </c>
      <c r="N100" s="1799" t="str">
        <f t="shared" ref="N100" si="28">IF(I100="Labor",H100," ")</f>
        <v xml:space="preserve"> </v>
      </c>
    </row>
    <row r="101" spans="3:14">
      <c r="C101" s="1061" t="s">
        <v>650</v>
      </c>
      <c r="D101" s="1806" t="s">
        <v>339</v>
      </c>
      <c r="E101" s="1063" t="s">
        <v>1433</v>
      </c>
      <c r="F101" s="1064"/>
      <c r="G101" s="1063" t="s">
        <v>1464</v>
      </c>
      <c r="H101" s="1065">
        <v>-105225.46999999994</v>
      </c>
      <c r="I101" s="1066" t="s">
        <v>293</v>
      </c>
      <c r="J101" s="1799">
        <f t="shared" si="25"/>
        <v>-105225.46999999994</v>
      </c>
      <c r="K101" s="1776" t="str">
        <f t="shared" si="10"/>
        <v xml:space="preserve"> </v>
      </c>
      <c r="L101" s="1776" t="str">
        <f t="shared" si="11"/>
        <v xml:space="preserve"> </v>
      </c>
      <c r="M101" s="1799" t="str">
        <f t="shared" si="12"/>
        <v xml:space="preserve"> </v>
      </c>
      <c r="N101" s="1799" t="str">
        <f t="shared" si="26"/>
        <v xml:space="preserve"> </v>
      </c>
    </row>
    <row r="102" spans="3:14">
      <c r="C102" s="1061" t="s">
        <v>650</v>
      </c>
      <c r="D102" s="1806" t="s">
        <v>339</v>
      </c>
      <c r="E102" s="1063" t="s">
        <v>1536</v>
      </c>
      <c r="F102" s="1064"/>
      <c r="G102" s="1063" t="s">
        <v>1537</v>
      </c>
      <c r="H102" s="1065">
        <v>0.01</v>
      </c>
      <c r="I102" s="1066" t="s">
        <v>293</v>
      </c>
      <c r="J102" s="1799">
        <f t="shared" si="25"/>
        <v>0.01</v>
      </c>
      <c r="K102" s="1776" t="str">
        <f t="shared" si="10"/>
        <v xml:space="preserve"> </v>
      </c>
      <c r="L102" s="1776" t="str">
        <f t="shared" si="11"/>
        <v xml:space="preserve"> </v>
      </c>
      <c r="M102" s="1799" t="str">
        <f t="shared" si="12"/>
        <v xml:space="preserve"> </v>
      </c>
      <c r="N102" s="1799" t="str">
        <f t="shared" si="26"/>
        <v xml:space="preserve"> </v>
      </c>
    </row>
    <row r="103" spans="3:14">
      <c r="C103" s="1061" t="s">
        <v>650</v>
      </c>
      <c r="D103" s="1806" t="s">
        <v>339</v>
      </c>
      <c r="E103" s="1063" t="s">
        <v>1000</v>
      </c>
      <c r="F103" s="1064"/>
      <c r="G103" s="1063" t="s">
        <v>679</v>
      </c>
      <c r="H103" s="1065">
        <v>-1545036.2100000002</v>
      </c>
      <c r="I103" s="1066" t="s">
        <v>160</v>
      </c>
      <c r="J103" s="1799" t="str">
        <f t="shared" si="23"/>
        <v xml:space="preserve"> </v>
      </c>
      <c r="K103" s="1776" t="str">
        <f t="shared" si="10"/>
        <v xml:space="preserve"> </v>
      </c>
      <c r="L103" s="1776">
        <f t="shared" si="11"/>
        <v>-1545036.2100000002</v>
      </c>
      <c r="M103" s="1799" t="str">
        <f t="shared" si="12"/>
        <v xml:space="preserve"> </v>
      </c>
      <c r="N103" s="1799" t="str">
        <f t="shared" si="24"/>
        <v xml:space="preserve"> </v>
      </c>
    </row>
    <row r="104" spans="3:14">
      <c r="C104" s="1061" t="s">
        <v>650</v>
      </c>
      <c r="D104" s="1806" t="s">
        <v>339</v>
      </c>
      <c r="E104" s="1063" t="s">
        <v>1001</v>
      </c>
      <c r="F104" s="1064"/>
      <c r="G104" s="1063" t="s">
        <v>680</v>
      </c>
      <c r="H104" s="1065">
        <v>1869.3900000000012</v>
      </c>
      <c r="I104" s="1066" t="s">
        <v>160</v>
      </c>
      <c r="J104" s="1799" t="str">
        <f t="shared" si="23"/>
        <v xml:space="preserve"> </v>
      </c>
      <c r="K104" s="1776" t="str">
        <f t="shared" si="10"/>
        <v xml:space="preserve"> </v>
      </c>
      <c r="L104" s="1776">
        <f t="shared" si="11"/>
        <v>1869.3900000000012</v>
      </c>
      <c r="M104" s="1799" t="str">
        <f t="shared" si="12"/>
        <v xml:space="preserve"> </v>
      </c>
      <c r="N104" s="1799" t="str">
        <f t="shared" si="24"/>
        <v xml:space="preserve"> </v>
      </c>
    </row>
    <row r="105" spans="3:14">
      <c r="C105" s="1061" t="s">
        <v>650</v>
      </c>
      <c r="D105" s="1806" t="s">
        <v>339</v>
      </c>
      <c r="E105" s="1063" t="s">
        <v>1002</v>
      </c>
      <c r="F105" s="1064"/>
      <c r="G105" s="1063" t="s">
        <v>681</v>
      </c>
      <c r="H105" s="1065">
        <v>-6315058.0599999987</v>
      </c>
      <c r="I105" s="1066" t="s">
        <v>302</v>
      </c>
      <c r="J105" s="1799" t="str">
        <f t="shared" si="23"/>
        <v xml:space="preserve"> </v>
      </c>
      <c r="K105" s="1776" t="str">
        <f t="shared" si="10"/>
        <v xml:space="preserve"> </v>
      </c>
      <c r="L105" s="1776" t="str">
        <f t="shared" si="11"/>
        <v xml:space="preserve"> </v>
      </c>
      <c r="M105" s="1799" t="str">
        <f t="shared" si="12"/>
        <v xml:space="preserve"> </v>
      </c>
      <c r="N105" s="1799">
        <f t="shared" si="24"/>
        <v>-6315058.0599999987</v>
      </c>
    </row>
    <row r="106" spans="3:14">
      <c r="C106" s="1061" t="s">
        <v>650</v>
      </c>
      <c r="D106" s="1806" t="s">
        <v>339</v>
      </c>
      <c r="E106" s="1063" t="s">
        <v>1003</v>
      </c>
      <c r="F106" s="1064"/>
      <c r="G106" s="1063" t="s">
        <v>682</v>
      </c>
      <c r="H106" s="1065">
        <v>3441110.9200000004</v>
      </c>
      <c r="I106" s="1066" t="s">
        <v>302</v>
      </c>
      <c r="J106" s="1799" t="str">
        <f t="shared" si="23"/>
        <v xml:space="preserve"> </v>
      </c>
      <c r="K106" s="1776" t="str">
        <f t="shared" si="10"/>
        <v xml:space="preserve"> </v>
      </c>
      <c r="L106" s="1776" t="str">
        <f t="shared" si="11"/>
        <v xml:space="preserve"> </v>
      </c>
      <c r="M106" s="1799" t="str">
        <f t="shared" si="12"/>
        <v xml:space="preserve"> </v>
      </c>
      <c r="N106" s="1799">
        <f t="shared" si="24"/>
        <v>3441110.9200000004</v>
      </c>
    </row>
    <row r="107" spans="3:14">
      <c r="C107" s="1061" t="s">
        <v>650</v>
      </c>
      <c r="D107" s="1806" t="s">
        <v>339</v>
      </c>
      <c r="E107" s="1063" t="s">
        <v>1004</v>
      </c>
      <c r="F107" s="1064"/>
      <c r="G107" s="1063" t="s">
        <v>683</v>
      </c>
      <c r="H107" s="1065">
        <v>1184825.6000000001</v>
      </c>
      <c r="I107" s="1066" t="s">
        <v>302</v>
      </c>
      <c r="J107" s="1799" t="str">
        <f t="shared" si="21"/>
        <v xml:space="preserve"> </v>
      </c>
      <c r="K107" s="1776" t="str">
        <f t="shared" si="10"/>
        <v xml:space="preserve"> </v>
      </c>
      <c r="L107" s="1776" t="str">
        <f t="shared" si="11"/>
        <v xml:space="preserve"> </v>
      </c>
      <c r="M107" s="1799" t="str">
        <f t="shared" si="12"/>
        <v xml:space="preserve"> </v>
      </c>
      <c r="N107" s="1799">
        <f t="shared" si="22"/>
        <v>1184825.6000000001</v>
      </c>
    </row>
    <row r="108" spans="3:14">
      <c r="C108" s="1061" t="s">
        <v>650</v>
      </c>
      <c r="D108" s="1806" t="s">
        <v>339</v>
      </c>
      <c r="E108" s="1063" t="s">
        <v>1005</v>
      </c>
      <c r="F108" s="1064"/>
      <c r="G108" s="1063" t="s">
        <v>684</v>
      </c>
      <c r="H108" s="1065">
        <v>-671970.0699999996</v>
      </c>
      <c r="I108" s="1066" t="s">
        <v>302</v>
      </c>
      <c r="J108" s="1799" t="str">
        <f t="shared" si="21"/>
        <v xml:space="preserve"> </v>
      </c>
      <c r="K108" s="1776" t="str">
        <f t="shared" si="10"/>
        <v xml:space="preserve"> </v>
      </c>
      <c r="L108" s="1776" t="str">
        <f t="shared" si="11"/>
        <v xml:space="preserve"> </v>
      </c>
      <c r="M108" s="1799" t="str">
        <f t="shared" si="12"/>
        <v xml:space="preserve"> </v>
      </c>
      <c r="N108" s="1799">
        <f t="shared" si="22"/>
        <v>-671970.0699999996</v>
      </c>
    </row>
    <row r="109" spans="3:14">
      <c r="C109" s="1061" t="s">
        <v>650</v>
      </c>
      <c r="D109" s="1806"/>
      <c r="E109" s="1063" t="s">
        <v>1006</v>
      </c>
      <c r="F109" s="1064"/>
      <c r="G109" s="1063" t="s">
        <v>685</v>
      </c>
      <c r="H109" s="1065">
        <v>0.08</v>
      </c>
      <c r="I109" s="1066" t="s">
        <v>293</v>
      </c>
      <c r="J109" s="1799">
        <f t="shared" si="21"/>
        <v>0.08</v>
      </c>
      <c r="K109" s="1776" t="str">
        <f t="shared" si="10"/>
        <v xml:space="preserve"> </v>
      </c>
      <c r="L109" s="1776" t="str">
        <f t="shared" si="11"/>
        <v xml:space="preserve"> </v>
      </c>
      <c r="M109" s="1799" t="str">
        <f t="shared" si="12"/>
        <v xml:space="preserve"> </v>
      </c>
      <c r="N109" s="1799" t="str">
        <f t="shared" si="22"/>
        <v xml:space="preserve"> </v>
      </c>
    </row>
    <row r="110" spans="3:14">
      <c r="C110" s="1061" t="s">
        <v>650</v>
      </c>
      <c r="D110" s="1806"/>
      <c r="E110" s="1063" t="s">
        <v>1007</v>
      </c>
      <c r="F110" s="1064"/>
      <c r="G110" s="1063" t="s">
        <v>686</v>
      </c>
      <c r="H110" s="1065">
        <v>2156682.04</v>
      </c>
      <c r="I110" s="1066" t="s">
        <v>293</v>
      </c>
      <c r="J110" s="1799">
        <f t="shared" ref="J110:J113" si="29">IF(I110="e",H110," ")</f>
        <v>2156682.04</v>
      </c>
      <c r="K110" s="1776" t="str">
        <f t="shared" si="10"/>
        <v xml:space="preserve"> </v>
      </c>
      <c r="L110" s="1776" t="str">
        <f t="shared" si="11"/>
        <v xml:space="preserve"> </v>
      </c>
      <c r="M110" s="1799" t="str">
        <f t="shared" si="12"/>
        <v xml:space="preserve"> </v>
      </c>
      <c r="N110" s="1799" t="str">
        <f t="shared" ref="N110:N113" si="30">IF(I110="Labor",H110," ")</f>
        <v xml:space="preserve"> </v>
      </c>
    </row>
    <row r="111" spans="3:14">
      <c r="C111" s="1061" t="s">
        <v>650</v>
      </c>
      <c r="D111" s="1806"/>
      <c r="E111" s="1063" t="s">
        <v>1008</v>
      </c>
      <c r="F111" s="1064"/>
      <c r="G111" s="1063" t="s">
        <v>687</v>
      </c>
      <c r="H111" s="1065">
        <v>-2434188.3299999996</v>
      </c>
      <c r="I111" s="1066" t="s">
        <v>293</v>
      </c>
      <c r="J111" s="1799">
        <f t="shared" si="29"/>
        <v>-2434188.3299999996</v>
      </c>
      <c r="K111" s="1776" t="str">
        <f t="shared" si="10"/>
        <v xml:space="preserve"> </v>
      </c>
      <c r="L111" s="1776" t="str">
        <f t="shared" si="11"/>
        <v xml:space="preserve"> </v>
      </c>
      <c r="M111" s="1799" t="str">
        <f t="shared" si="12"/>
        <v xml:space="preserve"> </v>
      </c>
      <c r="N111" s="1799" t="str">
        <f t="shared" si="30"/>
        <v xml:space="preserve"> </v>
      </c>
    </row>
    <row r="112" spans="3:14">
      <c r="C112" s="1061" t="s">
        <v>650</v>
      </c>
      <c r="D112" s="1806"/>
      <c r="E112" s="1063" t="s">
        <v>1009</v>
      </c>
      <c r="F112" s="1064"/>
      <c r="G112" s="1063" t="s">
        <v>688</v>
      </c>
      <c r="H112" s="1065">
        <v>-1623</v>
      </c>
      <c r="I112" s="1066" t="s">
        <v>293</v>
      </c>
      <c r="J112" s="1799">
        <f t="shared" si="29"/>
        <v>-1623</v>
      </c>
      <c r="K112" s="1776" t="str">
        <f t="shared" si="10"/>
        <v xml:space="preserve"> </v>
      </c>
      <c r="L112" s="1776" t="str">
        <f t="shared" si="11"/>
        <v xml:space="preserve"> </v>
      </c>
      <c r="M112" s="1799" t="str">
        <f t="shared" si="12"/>
        <v xml:space="preserve"> </v>
      </c>
      <c r="N112" s="1799" t="str">
        <f t="shared" si="30"/>
        <v xml:space="preserve"> </v>
      </c>
    </row>
    <row r="113" spans="3:15">
      <c r="C113" s="1061"/>
      <c r="D113" s="1806"/>
      <c r="E113" s="1063"/>
      <c r="F113" s="1064"/>
      <c r="G113" s="1063"/>
      <c r="H113" s="1065"/>
      <c r="I113" s="1066"/>
      <c r="J113" s="1799" t="str">
        <f t="shared" si="29"/>
        <v xml:space="preserve"> </v>
      </c>
      <c r="K113" s="1776" t="str">
        <f t="shared" si="10"/>
        <v xml:space="preserve"> </v>
      </c>
      <c r="L113" s="1776" t="str">
        <f t="shared" si="11"/>
        <v xml:space="preserve"> </v>
      </c>
      <c r="M113" s="1799" t="str">
        <f t="shared" si="12"/>
        <v xml:space="preserve"> </v>
      </c>
      <c r="N113" s="1799" t="str">
        <f t="shared" si="30"/>
        <v xml:space="preserve"> </v>
      </c>
    </row>
    <row r="114" spans="3:15">
      <c r="C114" s="1083">
        <v>2831002</v>
      </c>
      <c r="D114" s="1806" t="s">
        <v>339</v>
      </c>
      <c r="E114" s="1063" t="s">
        <v>1010</v>
      </c>
      <c r="F114" s="1064"/>
      <c r="G114" s="1063" t="s">
        <v>1011</v>
      </c>
      <c r="H114" s="1065"/>
      <c r="I114" s="1066" t="s">
        <v>160</v>
      </c>
      <c r="J114" s="1799" t="str">
        <f t="shared" si="21"/>
        <v xml:space="preserve"> </v>
      </c>
      <c r="K114" s="1776" t="str">
        <f t="shared" si="10"/>
        <v xml:space="preserve"> </v>
      </c>
      <c r="L114" s="1776">
        <f t="shared" si="11"/>
        <v>0</v>
      </c>
      <c r="M114" s="1799" t="str">
        <f t="shared" si="12"/>
        <v xml:space="preserve"> </v>
      </c>
      <c r="N114" s="1799" t="str">
        <f t="shared" si="22"/>
        <v xml:space="preserve"> </v>
      </c>
    </row>
    <row r="115" spans="3:15">
      <c r="C115" s="1083">
        <v>2831001</v>
      </c>
      <c r="D115" s="753"/>
      <c r="E115" s="1063" t="s">
        <v>1543</v>
      </c>
      <c r="F115" s="700"/>
      <c r="G115" s="1063" t="s">
        <v>1544</v>
      </c>
      <c r="H115" s="1065">
        <v>3917785.08</v>
      </c>
      <c r="I115" s="1066" t="s">
        <v>1271</v>
      </c>
      <c r="J115" s="1065">
        <v>11770628.467345582</v>
      </c>
      <c r="K115" s="1065">
        <v>298926.95265441737</v>
      </c>
      <c r="L115" s="1776" t="str">
        <f t="shared" si="11"/>
        <v xml:space="preserve"> </v>
      </c>
      <c r="M115" s="1799" t="str">
        <f t="shared" si="12"/>
        <v xml:space="preserve"> </v>
      </c>
      <c r="N115" s="1799" t="str">
        <f t="shared" si="22"/>
        <v xml:space="preserve"> </v>
      </c>
    </row>
    <row r="116" spans="3:15">
      <c r="C116" s="1083">
        <v>2831001</v>
      </c>
      <c r="D116" s="753"/>
      <c r="E116" s="1063" t="s">
        <v>1543</v>
      </c>
      <c r="F116" s="700"/>
      <c r="G116" s="1063" t="s">
        <v>1545</v>
      </c>
      <c r="H116" s="1065">
        <v>1160206.3199999998</v>
      </c>
      <c r="I116" s="1066"/>
      <c r="J116" s="1776"/>
      <c r="K116" s="1776"/>
      <c r="L116" s="1776"/>
      <c r="M116" s="1799"/>
      <c r="N116" s="1799"/>
    </row>
    <row r="117" spans="3:15">
      <c r="C117" s="1083">
        <v>2831001</v>
      </c>
      <c r="D117" s="753"/>
      <c r="E117" s="1063" t="s">
        <v>1543</v>
      </c>
      <c r="F117" s="700"/>
      <c r="G117" s="1063" t="s">
        <v>1546</v>
      </c>
      <c r="H117" s="1065">
        <v>1908750.04</v>
      </c>
      <c r="I117" s="1066"/>
      <c r="J117" s="1776"/>
      <c r="K117" s="1776"/>
      <c r="L117" s="1776"/>
      <c r="M117" s="1799"/>
      <c r="N117" s="1799"/>
    </row>
    <row r="118" spans="3:15">
      <c r="C118" s="1083">
        <v>2831001</v>
      </c>
      <c r="D118" s="753"/>
      <c r="E118" s="1063" t="s">
        <v>1543</v>
      </c>
      <c r="F118" s="700"/>
      <c r="G118" s="1063" t="s">
        <v>1547</v>
      </c>
      <c r="H118" s="1065">
        <v>2669920.33</v>
      </c>
      <c r="I118" s="1066"/>
      <c r="J118" s="1776"/>
      <c r="K118" s="1776"/>
      <c r="L118" s="1776"/>
      <c r="M118" s="1799"/>
      <c r="N118" s="1799"/>
    </row>
    <row r="119" spans="3:15">
      <c r="C119" s="1083">
        <v>2831001</v>
      </c>
      <c r="D119" s="753"/>
      <c r="E119" s="1063" t="s">
        <v>1543</v>
      </c>
      <c r="F119" s="700"/>
      <c r="G119" s="1063" t="s">
        <v>1548</v>
      </c>
      <c r="H119" s="1065">
        <v>2412893.65</v>
      </c>
      <c r="I119" s="1066"/>
      <c r="J119" s="1776"/>
      <c r="K119" s="1776"/>
      <c r="L119" s="1776"/>
      <c r="M119" s="1799"/>
      <c r="N119" s="1799"/>
    </row>
    <row r="120" spans="3:15" s="1085" customFormat="1">
      <c r="C120" s="1807"/>
      <c r="D120" s="1808"/>
      <c r="E120" s="1100"/>
      <c r="G120" s="1101"/>
      <c r="H120" s="1102"/>
      <c r="I120" s="1103"/>
      <c r="J120" s="1809"/>
      <c r="K120" s="1086"/>
      <c r="L120" s="1086"/>
      <c r="M120" s="1809"/>
      <c r="N120" s="1809"/>
    </row>
    <row r="121" spans="3:15">
      <c r="C121" s="1088"/>
      <c r="D121" s="1089"/>
      <c r="E121" s="1064"/>
      <c r="F121" s="739"/>
      <c r="G121" s="1064"/>
      <c r="H121" s="1090"/>
      <c r="I121" s="1091"/>
      <c r="J121" s="1799"/>
      <c r="K121" s="1776"/>
      <c r="L121" s="1776"/>
      <c r="M121" s="1799"/>
      <c r="N121" s="1799"/>
    </row>
    <row r="122" spans="3:15">
      <c r="C122" s="1800"/>
      <c r="D122" s="1796"/>
      <c r="E122" s="1800"/>
      <c r="G122" s="1063" t="s">
        <v>1094</v>
      </c>
      <c r="H122" s="1065"/>
      <c r="I122" s="1066"/>
      <c r="J122" s="1065"/>
      <c r="K122" s="1065"/>
      <c r="L122" s="1065"/>
      <c r="M122" s="1065"/>
      <c r="N122" s="1065"/>
    </row>
    <row r="123" spans="3:15">
      <c r="D123" s="791"/>
      <c r="H123" s="1776"/>
      <c r="I123" s="1776"/>
      <c r="J123" s="1805" t="str">
        <f>IF(I123="e",H123," ")</f>
        <v xml:space="preserve"> </v>
      </c>
      <c r="K123" s="1805"/>
      <c r="L123" s="1805" t="str">
        <f>IF($I123="PTD",$H123," ")</f>
        <v xml:space="preserve"> </v>
      </c>
      <c r="M123" s="1805" t="str">
        <f>IF($I123="T&amp;D",$H123," ")</f>
        <v xml:space="preserve"> </v>
      </c>
      <c r="N123" s="1805" t="str">
        <f>IF(I123="Labor",H123," ")</f>
        <v xml:space="preserve"> </v>
      </c>
    </row>
    <row r="124" spans="3:15">
      <c r="C124" s="1058">
        <v>283.10000000000002</v>
      </c>
      <c r="D124" s="791"/>
      <c r="G124" s="1077" t="s">
        <v>161</v>
      </c>
      <c r="H124" s="1093">
        <f>SUM(H63:H123)</f>
        <v>-31215588.920000017</v>
      </c>
      <c r="I124" s="1776"/>
      <c r="J124" s="1093">
        <f>SUM(J63:J123)</f>
        <v>-11003346.972654415</v>
      </c>
      <c r="K124" s="1093">
        <f>SUM(K63:K123)</f>
        <v>298926.95265441737</v>
      </c>
      <c r="L124" s="1093">
        <f>SUM(L63:L123)</f>
        <v>-1543162.6100000003</v>
      </c>
      <c r="M124" s="1093">
        <f>SUM(M63:M123)</f>
        <v>0</v>
      </c>
      <c r="N124" s="1093">
        <f>SUM(N63:N123)</f>
        <v>-18968006.289999999</v>
      </c>
      <c r="O124" s="1068"/>
    </row>
    <row r="125" spans="3:15" ht="25.5" customHeight="1">
      <c r="C125" s="1094"/>
      <c r="D125" s="791"/>
      <c r="G125" s="1803" t="s">
        <v>111</v>
      </c>
      <c r="H125" s="1797">
        <v>-31215589</v>
      </c>
      <c r="I125" s="1776"/>
      <c r="J125" s="1804"/>
      <c r="K125" s="1095"/>
      <c r="L125" s="1095"/>
      <c r="M125" s="1095"/>
      <c r="N125" s="1095"/>
    </row>
    <row r="126" spans="3:15">
      <c r="G126" s="1810"/>
      <c r="H126" s="1805"/>
      <c r="I126" s="1776"/>
      <c r="J126" s="1776"/>
      <c r="K126" s="1776"/>
      <c r="L126" s="1776"/>
      <c r="M126" s="1776"/>
      <c r="N126" s="1776"/>
    </row>
    <row r="127" spans="3:15">
      <c r="H127" s="1805"/>
      <c r="I127" s="1776"/>
      <c r="J127" s="1776"/>
      <c r="K127" s="1776"/>
      <c r="L127" s="1776"/>
      <c r="M127" s="1776"/>
      <c r="N127" s="1776"/>
    </row>
    <row r="128" spans="3:15">
      <c r="C128" s="1061" t="s">
        <v>689</v>
      </c>
      <c r="D128" s="1811" t="s">
        <v>339</v>
      </c>
      <c r="E128" s="1063" t="s">
        <v>690</v>
      </c>
      <c r="F128" s="1064"/>
      <c r="G128" s="1063" t="s">
        <v>691</v>
      </c>
      <c r="H128" s="1065">
        <v>-898797</v>
      </c>
      <c r="I128" s="1066" t="s">
        <v>293</v>
      </c>
      <c r="J128" s="1799">
        <f t="shared" ref="J128:J204" si="31">IF(I128="e",H128," ")</f>
        <v>-898797</v>
      </c>
      <c r="K128" s="1776" t="str">
        <f t="shared" ref="K128:K205" si="32">IF($I128="T",$H128," ")</f>
        <v xml:space="preserve"> </v>
      </c>
      <c r="L128" s="1776" t="str">
        <f t="shared" ref="L128:L205" si="33">IF($I128="PTD",$H128," ")</f>
        <v xml:space="preserve"> </v>
      </c>
      <c r="M128" s="1799" t="str">
        <f t="shared" ref="M128:M205" si="34">IF($I128="T&amp;D",$H128," ")</f>
        <v xml:space="preserve"> </v>
      </c>
      <c r="N128" s="1799" t="str">
        <f t="shared" ref="N128:N204" si="35">IF(I128="Labor",H128," ")</f>
        <v xml:space="preserve"> </v>
      </c>
    </row>
    <row r="129" spans="3:14">
      <c r="C129" s="1061" t="s">
        <v>689</v>
      </c>
      <c r="D129" s="1811" t="s">
        <v>339</v>
      </c>
      <c r="E129" s="1063" t="s">
        <v>1012</v>
      </c>
      <c r="F129" s="1064"/>
      <c r="G129" s="1063" t="s">
        <v>692</v>
      </c>
      <c r="H129" s="1065">
        <v>898797</v>
      </c>
      <c r="I129" s="1066" t="s">
        <v>293</v>
      </c>
      <c r="J129" s="1799">
        <f t="shared" ref="J129:J192" si="36">IF(I129="e",H129," ")</f>
        <v>898797</v>
      </c>
      <c r="K129" s="1776" t="str">
        <f t="shared" si="32"/>
        <v xml:space="preserve"> </v>
      </c>
      <c r="L129" s="1776" t="str">
        <f t="shared" si="33"/>
        <v xml:space="preserve"> </v>
      </c>
      <c r="M129" s="1799" t="str">
        <f t="shared" si="34"/>
        <v xml:space="preserve"> </v>
      </c>
      <c r="N129" s="1799" t="str">
        <f t="shared" ref="N129:N192" si="37">IF(I129="Labor",H129," ")</f>
        <v xml:space="preserve"> </v>
      </c>
    </row>
    <row r="130" spans="3:14">
      <c r="C130" s="1061" t="s">
        <v>689</v>
      </c>
      <c r="D130" s="1811" t="s">
        <v>339</v>
      </c>
      <c r="E130" s="1063" t="s">
        <v>693</v>
      </c>
      <c r="F130" s="1064"/>
      <c r="G130" s="1063" t="s">
        <v>694</v>
      </c>
      <c r="H130" s="1065">
        <v>0.03</v>
      </c>
      <c r="I130" s="1066" t="s">
        <v>293</v>
      </c>
      <c r="J130" s="1799">
        <f t="shared" si="36"/>
        <v>0.03</v>
      </c>
      <c r="K130" s="1776" t="str">
        <f t="shared" si="32"/>
        <v xml:space="preserve"> </v>
      </c>
      <c r="L130" s="1776" t="str">
        <f t="shared" si="33"/>
        <v xml:space="preserve"> </v>
      </c>
      <c r="M130" s="1799" t="str">
        <f t="shared" si="34"/>
        <v xml:space="preserve"> </v>
      </c>
      <c r="N130" s="1799" t="str">
        <f t="shared" si="37"/>
        <v xml:space="preserve"> </v>
      </c>
    </row>
    <row r="131" spans="3:14">
      <c r="C131" s="1061" t="s">
        <v>689</v>
      </c>
      <c r="D131" s="1811" t="s">
        <v>339</v>
      </c>
      <c r="E131" s="1063" t="s">
        <v>695</v>
      </c>
      <c r="F131" s="1064"/>
      <c r="G131" s="1063" t="s">
        <v>696</v>
      </c>
      <c r="H131" s="1065">
        <v>-0.33000000000000007</v>
      </c>
      <c r="I131" s="1066" t="s">
        <v>293</v>
      </c>
      <c r="J131" s="1799">
        <f t="shared" si="36"/>
        <v>-0.33000000000000007</v>
      </c>
      <c r="K131" s="1776" t="str">
        <f t="shared" si="32"/>
        <v xml:space="preserve"> </v>
      </c>
      <c r="L131" s="1776" t="str">
        <f t="shared" si="33"/>
        <v xml:space="preserve"> </v>
      </c>
      <c r="M131" s="1799" t="str">
        <f t="shared" si="34"/>
        <v xml:space="preserve"> </v>
      </c>
      <c r="N131" s="1799" t="str">
        <f t="shared" si="37"/>
        <v xml:space="preserve"> </v>
      </c>
    </row>
    <row r="132" spans="3:14">
      <c r="C132" s="1061" t="s">
        <v>689</v>
      </c>
      <c r="D132" s="1811" t="s">
        <v>339</v>
      </c>
      <c r="E132" s="1063" t="s">
        <v>697</v>
      </c>
      <c r="F132" s="1064"/>
      <c r="G132" s="1063" t="s">
        <v>698</v>
      </c>
      <c r="H132" s="1065">
        <v>-3561833.7</v>
      </c>
      <c r="I132" s="1066" t="s">
        <v>293</v>
      </c>
      <c r="J132" s="1799">
        <f t="shared" si="36"/>
        <v>-3561833.7</v>
      </c>
      <c r="K132" s="1776" t="str">
        <f t="shared" si="32"/>
        <v xml:space="preserve"> </v>
      </c>
      <c r="L132" s="1776" t="str">
        <f t="shared" si="33"/>
        <v xml:space="preserve"> </v>
      </c>
      <c r="M132" s="1799" t="str">
        <f t="shared" si="34"/>
        <v xml:space="preserve"> </v>
      </c>
      <c r="N132" s="1799" t="str">
        <f t="shared" si="37"/>
        <v xml:space="preserve"> </v>
      </c>
    </row>
    <row r="133" spans="3:14">
      <c r="C133" s="1061" t="s">
        <v>689</v>
      </c>
      <c r="D133" s="1811" t="s">
        <v>339</v>
      </c>
      <c r="E133" s="1063" t="s">
        <v>699</v>
      </c>
      <c r="F133" s="1064"/>
      <c r="G133" s="1063" t="s">
        <v>700</v>
      </c>
      <c r="H133" s="1065">
        <v>-392498.86000000004</v>
      </c>
      <c r="I133" s="1066" t="s">
        <v>293</v>
      </c>
      <c r="J133" s="1799">
        <f t="shared" si="36"/>
        <v>-392498.86000000004</v>
      </c>
      <c r="K133" s="1776" t="str">
        <f t="shared" si="32"/>
        <v xml:space="preserve"> </v>
      </c>
      <c r="L133" s="1776" t="str">
        <f t="shared" si="33"/>
        <v xml:space="preserve"> </v>
      </c>
      <c r="M133" s="1799" t="str">
        <f t="shared" si="34"/>
        <v xml:space="preserve"> </v>
      </c>
      <c r="N133" s="1799" t="str">
        <f t="shared" si="37"/>
        <v xml:space="preserve"> </v>
      </c>
    </row>
    <row r="134" spans="3:14">
      <c r="C134" s="1061" t="s">
        <v>689</v>
      </c>
      <c r="D134" s="1811" t="s">
        <v>339</v>
      </c>
      <c r="E134" s="1063" t="s">
        <v>701</v>
      </c>
      <c r="F134" s="1064"/>
      <c r="G134" s="1063" t="s">
        <v>702</v>
      </c>
      <c r="H134" s="1065">
        <v>4518339.9400000004</v>
      </c>
      <c r="I134" s="1066" t="s">
        <v>293</v>
      </c>
      <c r="J134" s="1799">
        <f t="shared" si="36"/>
        <v>4518339.9400000004</v>
      </c>
      <c r="K134" s="1776" t="str">
        <f t="shared" si="32"/>
        <v xml:space="preserve"> </v>
      </c>
      <c r="L134" s="1776" t="str">
        <f t="shared" si="33"/>
        <v xml:space="preserve"> </v>
      </c>
      <c r="M134" s="1799" t="str">
        <f t="shared" si="34"/>
        <v xml:space="preserve"> </v>
      </c>
      <c r="N134" s="1799" t="str">
        <f t="shared" si="37"/>
        <v xml:space="preserve"> </v>
      </c>
    </row>
    <row r="135" spans="3:14">
      <c r="C135" s="1061" t="s">
        <v>689</v>
      </c>
      <c r="D135" s="1811" t="s">
        <v>339</v>
      </c>
      <c r="E135" s="1063" t="s">
        <v>703</v>
      </c>
      <c r="F135" s="1064"/>
      <c r="G135" s="1063" t="s">
        <v>704</v>
      </c>
      <c r="H135" s="1065">
        <v>3924933.0300000003</v>
      </c>
      <c r="I135" s="1066" t="s">
        <v>160</v>
      </c>
      <c r="J135" s="1799" t="str">
        <f t="shared" si="36"/>
        <v xml:space="preserve"> </v>
      </c>
      <c r="K135" s="1776" t="str">
        <f t="shared" si="32"/>
        <v xml:space="preserve"> </v>
      </c>
      <c r="L135" s="1776">
        <f t="shared" si="33"/>
        <v>3924933.0300000003</v>
      </c>
      <c r="M135" s="1799" t="str">
        <f t="shared" si="34"/>
        <v xml:space="preserve"> </v>
      </c>
      <c r="N135" s="1799" t="str">
        <f t="shared" si="37"/>
        <v xml:space="preserve"> </v>
      </c>
    </row>
    <row r="136" spans="3:14">
      <c r="C136" s="1061" t="s">
        <v>689</v>
      </c>
      <c r="D136" s="1811" t="s">
        <v>339</v>
      </c>
      <c r="E136" s="1063" t="s">
        <v>1454</v>
      </c>
      <c r="F136" s="1064"/>
      <c r="G136" s="1063" t="s">
        <v>1456</v>
      </c>
      <c r="H136" s="1065">
        <v>4904254.419999999</v>
      </c>
      <c r="I136" s="1066" t="s">
        <v>160</v>
      </c>
      <c r="J136" s="1799" t="str">
        <f t="shared" si="36"/>
        <v xml:space="preserve"> </v>
      </c>
      <c r="K136" s="1776" t="str">
        <f t="shared" si="32"/>
        <v xml:space="preserve"> </v>
      </c>
      <c r="L136" s="1776">
        <f t="shared" si="33"/>
        <v>4904254.419999999</v>
      </c>
      <c r="M136" s="1799" t="str">
        <f t="shared" si="34"/>
        <v xml:space="preserve"> </v>
      </c>
      <c r="N136" s="1799" t="str">
        <f t="shared" si="37"/>
        <v xml:space="preserve"> </v>
      </c>
    </row>
    <row r="137" spans="3:14">
      <c r="C137" s="1061" t="s">
        <v>689</v>
      </c>
      <c r="D137" s="1811" t="s">
        <v>339</v>
      </c>
      <c r="E137" s="1063" t="s">
        <v>1455</v>
      </c>
      <c r="F137" s="1064"/>
      <c r="G137" s="1063" t="s">
        <v>1457</v>
      </c>
      <c r="H137" s="1065">
        <v>2220372.66</v>
      </c>
      <c r="I137" s="1066" t="s">
        <v>160</v>
      </c>
      <c r="J137" s="1799" t="str">
        <f t="shared" si="36"/>
        <v xml:space="preserve"> </v>
      </c>
      <c r="K137" s="1776" t="str">
        <f t="shared" si="32"/>
        <v xml:space="preserve"> </v>
      </c>
      <c r="L137" s="1776">
        <f t="shared" si="33"/>
        <v>2220372.66</v>
      </c>
      <c r="M137" s="1799" t="str">
        <f t="shared" si="34"/>
        <v xml:space="preserve"> </v>
      </c>
      <c r="N137" s="1799" t="str">
        <f t="shared" si="37"/>
        <v xml:space="preserve"> </v>
      </c>
    </row>
    <row r="138" spans="3:14">
      <c r="C138" s="1061" t="s">
        <v>689</v>
      </c>
      <c r="D138" s="1811" t="s">
        <v>339</v>
      </c>
      <c r="E138" s="1063" t="s">
        <v>705</v>
      </c>
      <c r="F138" s="1064"/>
      <c r="G138" s="1063" t="s">
        <v>706</v>
      </c>
      <c r="H138" s="1065">
        <v>-0.20999999999185093</v>
      </c>
      <c r="I138" s="1066" t="s">
        <v>293</v>
      </c>
      <c r="J138" s="1799">
        <f t="shared" si="36"/>
        <v>-0.20999999999185093</v>
      </c>
      <c r="K138" s="1776" t="str">
        <f t="shared" si="32"/>
        <v xml:space="preserve"> </v>
      </c>
      <c r="L138" s="1776" t="str">
        <f t="shared" si="33"/>
        <v xml:space="preserve"> </v>
      </c>
      <c r="M138" s="1799" t="str">
        <f t="shared" si="34"/>
        <v xml:space="preserve"> </v>
      </c>
      <c r="N138" s="1799" t="str">
        <f t="shared" si="37"/>
        <v xml:space="preserve"> </v>
      </c>
    </row>
    <row r="139" spans="3:14">
      <c r="C139" s="1061" t="s">
        <v>689</v>
      </c>
      <c r="D139" s="1811" t="s">
        <v>339</v>
      </c>
      <c r="E139" s="1063" t="s">
        <v>707</v>
      </c>
      <c r="F139" s="1064"/>
      <c r="G139" s="1063" t="s">
        <v>708</v>
      </c>
      <c r="H139" s="1065">
        <v>308381.09999999998</v>
      </c>
      <c r="I139" s="1066" t="s">
        <v>302</v>
      </c>
      <c r="J139" s="1799" t="str">
        <f t="shared" si="36"/>
        <v xml:space="preserve"> </v>
      </c>
      <c r="K139" s="1776" t="str">
        <f t="shared" si="32"/>
        <v xml:space="preserve"> </v>
      </c>
      <c r="L139" s="1776" t="str">
        <f t="shared" si="33"/>
        <v xml:space="preserve"> </v>
      </c>
      <c r="M139" s="1799" t="str">
        <f t="shared" si="34"/>
        <v xml:space="preserve"> </v>
      </c>
      <c r="N139" s="1799">
        <f t="shared" si="37"/>
        <v>308381.09999999998</v>
      </c>
    </row>
    <row r="140" spans="3:14">
      <c r="C140" s="1061" t="s">
        <v>689</v>
      </c>
      <c r="D140" s="1811" t="s">
        <v>339</v>
      </c>
      <c r="E140" s="1063" t="s">
        <v>709</v>
      </c>
      <c r="F140" s="1064"/>
      <c r="G140" s="1063" t="s">
        <v>710</v>
      </c>
      <c r="H140" s="1065">
        <v>103272.88999999996</v>
      </c>
      <c r="I140" s="1066" t="s">
        <v>302</v>
      </c>
      <c r="J140" s="1799" t="str">
        <f t="shared" si="36"/>
        <v xml:space="preserve"> </v>
      </c>
      <c r="K140" s="1776" t="str">
        <f t="shared" si="32"/>
        <v xml:space="preserve"> </v>
      </c>
      <c r="L140" s="1776" t="str">
        <f t="shared" si="33"/>
        <v xml:space="preserve"> </v>
      </c>
      <c r="M140" s="1799" t="str">
        <f t="shared" si="34"/>
        <v xml:space="preserve"> </v>
      </c>
      <c r="N140" s="1799">
        <f t="shared" si="37"/>
        <v>103272.88999999996</v>
      </c>
    </row>
    <row r="141" spans="3:14">
      <c r="C141" s="1061" t="s">
        <v>689</v>
      </c>
      <c r="D141" s="1811" t="s">
        <v>339</v>
      </c>
      <c r="E141" s="1063" t="s">
        <v>711</v>
      </c>
      <c r="F141" s="1064"/>
      <c r="G141" s="1063" t="s">
        <v>712</v>
      </c>
      <c r="H141" s="1065">
        <v>159311.03999999995</v>
      </c>
      <c r="I141" s="1066" t="s">
        <v>293</v>
      </c>
      <c r="J141" s="1799">
        <f t="shared" si="36"/>
        <v>159311.03999999995</v>
      </c>
      <c r="K141" s="1776" t="str">
        <f t="shared" si="32"/>
        <v xml:space="preserve"> </v>
      </c>
      <c r="L141" s="1776" t="str">
        <f t="shared" si="33"/>
        <v xml:space="preserve"> </v>
      </c>
      <c r="M141" s="1799" t="str">
        <f t="shared" si="34"/>
        <v xml:space="preserve"> </v>
      </c>
      <c r="N141" s="1799" t="str">
        <f t="shared" si="37"/>
        <v xml:space="preserve"> </v>
      </c>
    </row>
    <row r="142" spans="3:14">
      <c r="C142" s="1061" t="s">
        <v>689</v>
      </c>
      <c r="D142" s="1811" t="s">
        <v>339</v>
      </c>
      <c r="E142" s="1063" t="s">
        <v>713</v>
      </c>
      <c r="F142" s="1064"/>
      <c r="G142" s="1063" t="s">
        <v>714</v>
      </c>
      <c r="H142" s="1065">
        <v>220348.43000000002</v>
      </c>
      <c r="I142" s="1066" t="s">
        <v>302</v>
      </c>
      <c r="J142" s="1799" t="str">
        <f t="shared" si="36"/>
        <v xml:space="preserve"> </v>
      </c>
      <c r="K142" s="1776" t="str">
        <f t="shared" si="32"/>
        <v xml:space="preserve"> </v>
      </c>
      <c r="L142" s="1776" t="str">
        <f t="shared" si="33"/>
        <v xml:space="preserve"> </v>
      </c>
      <c r="M142" s="1799" t="str">
        <f t="shared" si="34"/>
        <v xml:space="preserve"> </v>
      </c>
      <c r="N142" s="1799">
        <f t="shared" si="37"/>
        <v>220348.43000000002</v>
      </c>
    </row>
    <row r="143" spans="3:14">
      <c r="C143" s="1061" t="s">
        <v>689</v>
      </c>
      <c r="D143" s="1811" t="s">
        <v>339</v>
      </c>
      <c r="E143" s="1063" t="s">
        <v>715</v>
      </c>
      <c r="F143" s="1064"/>
      <c r="G143" s="1063" t="s">
        <v>716</v>
      </c>
      <c r="H143" s="1065">
        <v>0.01</v>
      </c>
      <c r="I143" s="1066" t="s">
        <v>293</v>
      </c>
      <c r="J143" s="1799">
        <f t="shared" si="36"/>
        <v>0.01</v>
      </c>
      <c r="K143" s="1776" t="str">
        <f t="shared" si="32"/>
        <v xml:space="preserve"> </v>
      </c>
      <c r="L143" s="1776" t="str">
        <f t="shared" si="33"/>
        <v xml:space="preserve"> </v>
      </c>
      <c r="M143" s="1799" t="str">
        <f t="shared" si="34"/>
        <v xml:space="preserve"> </v>
      </c>
      <c r="N143" s="1799" t="str">
        <f t="shared" si="37"/>
        <v xml:space="preserve"> </v>
      </c>
    </row>
    <row r="144" spans="3:14">
      <c r="C144" s="1061" t="s">
        <v>689</v>
      </c>
      <c r="D144" s="1811" t="s">
        <v>339</v>
      </c>
      <c r="E144" s="1063" t="s">
        <v>717</v>
      </c>
      <c r="F144" s="1064"/>
      <c r="G144" s="1063" t="s">
        <v>718</v>
      </c>
      <c r="H144" s="1065">
        <v>14183.439999999993</v>
      </c>
      <c r="I144" s="1066" t="s">
        <v>302</v>
      </c>
      <c r="J144" s="1799" t="str">
        <f t="shared" si="36"/>
        <v xml:space="preserve"> </v>
      </c>
      <c r="K144" s="1776" t="str">
        <f t="shared" si="32"/>
        <v xml:space="preserve"> </v>
      </c>
      <c r="L144" s="1776" t="str">
        <f t="shared" si="33"/>
        <v xml:space="preserve"> </v>
      </c>
      <c r="M144" s="1799" t="str">
        <f t="shared" si="34"/>
        <v xml:space="preserve"> </v>
      </c>
      <c r="N144" s="1799">
        <f t="shared" si="37"/>
        <v>14183.439999999993</v>
      </c>
    </row>
    <row r="145" spans="3:14">
      <c r="C145" s="1061" t="s">
        <v>689</v>
      </c>
      <c r="D145" s="1811" t="s">
        <v>339</v>
      </c>
      <c r="E145" s="1063" t="s">
        <v>719</v>
      </c>
      <c r="F145" s="1064"/>
      <c r="G145" s="1063" t="s">
        <v>720</v>
      </c>
      <c r="H145" s="1065">
        <v>351229.77</v>
      </c>
      <c r="I145" s="1066" t="s">
        <v>302</v>
      </c>
      <c r="J145" s="1799" t="str">
        <f t="shared" si="36"/>
        <v xml:space="preserve"> </v>
      </c>
      <c r="K145" s="1776" t="str">
        <f t="shared" si="32"/>
        <v xml:space="preserve"> </v>
      </c>
      <c r="L145" s="1776" t="str">
        <f t="shared" si="33"/>
        <v xml:space="preserve"> </v>
      </c>
      <c r="M145" s="1799" t="str">
        <f t="shared" si="34"/>
        <v xml:space="preserve"> </v>
      </c>
      <c r="N145" s="1799">
        <f t="shared" si="37"/>
        <v>351229.77</v>
      </c>
    </row>
    <row r="146" spans="3:14">
      <c r="C146" s="1061" t="s">
        <v>689</v>
      </c>
      <c r="D146" s="1811" t="s">
        <v>339</v>
      </c>
      <c r="E146" s="1063" t="s">
        <v>1410</v>
      </c>
      <c r="F146" s="1064"/>
      <c r="G146" s="1063" t="s">
        <v>1411</v>
      </c>
      <c r="H146" s="1065">
        <v>673766.59000000008</v>
      </c>
      <c r="I146" s="1066" t="s">
        <v>302</v>
      </c>
      <c r="J146" s="1799" t="str">
        <f t="shared" si="36"/>
        <v xml:space="preserve"> </v>
      </c>
      <c r="K146" s="1776" t="str">
        <f t="shared" si="32"/>
        <v xml:space="preserve"> </v>
      </c>
      <c r="L146" s="1776" t="str">
        <f t="shared" si="33"/>
        <v xml:space="preserve"> </v>
      </c>
      <c r="M146" s="1799" t="str">
        <f t="shared" si="34"/>
        <v xml:space="preserve"> </v>
      </c>
      <c r="N146" s="1799">
        <f t="shared" si="37"/>
        <v>673766.59000000008</v>
      </c>
    </row>
    <row r="147" spans="3:14">
      <c r="C147" s="1061" t="s">
        <v>689</v>
      </c>
      <c r="D147" s="1811" t="s">
        <v>339</v>
      </c>
      <c r="E147" s="1063" t="s">
        <v>721</v>
      </c>
      <c r="F147" s="1064"/>
      <c r="G147" s="1063" t="s">
        <v>722</v>
      </c>
      <c r="H147" s="1065">
        <v>148614.75999999998</v>
      </c>
      <c r="I147" s="1066" t="s">
        <v>293</v>
      </c>
      <c r="J147" s="1799">
        <f t="shared" si="36"/>
        <v>148614.75999999998</v>
      </c>
      <c r="K147" s="1776" t="str">
        <f t="shared" si="32"/>
        <v xml:space="preserve"> </v>
      </c>
      <c r="L147" s="1776" t="str">
        <f t="shared" si="33"/>
        <v xml:space="preserve"> </v>
      </c>
      <c r="M147" s="1799" t="str">
        <f t="shared" si="34"/>
        <v xml:space="preserve"> </v>
      </c>
      <c r="N147" s="1799" t="str">
        <f t="shared" si="37"/>
        <v xml:space="preserve"> </v>
      </c>
    </row>
    <row r="148" spans="3:14">
      <c r="C148" s="1061" t="s">
        <v>689</v>
      </c>
      <c r="D148" s="1811" t="s">
        <v>339</v>
      </c>
      <c r="E148" s="1063" t="s">
        <v>723</v>
      </c>
      <c r="F148" s="1064"/>
      <c r="G148" s="1063" t="s">
        <v>724</v>
      </c>
      <c r="H148" s="1065">
        <v>-0.20999999999999375</v>
      </c>
      <c r="I148" s="1066" t="s">
        <v>293</v>
      </c>
      <c r="J148" s="1799">
        <f t="shared" si="36"/>
        <v>-0.20999999999999375</v>
      </c>
      <c r="K148" s="1776" t="str">
        <f t="shared" si="32"/>
        <v xml:space="preserve"> </v>
      </c>
      <c r="L148" s="1776" t="str">
        <f t="shared" si="33"/>
        <v xml:space="preserve"> </v>
      </c>
      <c r="M148" s="1799" t="str">
        <f t="shared" si="34"/>
        <v xml:space="preserve"> </v>
      </c>
      <c r="N148" s="1799" t="str">
        <f t="shared" si="37"/>
        <v xml:space="preserve"> </v>
      </c>
    </row>
    <row r="149" spans="3:14">
      <c r="C149" s="1061" t="s">
        <v>689</v>
      </c>
      <c r="D149" s="1811" t="s">
        <v>339</v>
      </c>
      <c r="E149" s="1063" t="s">
        <v>725</v>
      </c>
      <c r="F149" s="1064"/>
      <c r="G149" s="1063" t="s">
        <v>726</v>
      </c>
      <c r="H149" s="1065">
        <v>-5247.0599999999995</v>
      </c>
      <c r="I149" s="1066" t="s">
        <v>293</v>
      </c>
      <c r="J149" s="1799">
        <f t="shared" si="36"/>
        <v>-5247.0599999999995</v>
      </c>
      <c r="K149" s="1776" t="str">
        <f t="shared" si="32"/>
        <v xml:space="preserve"> </v>
      </c>
      <c r="L149" s="1776" t="str">
        <f t="shared" si="33"/>
        <v xml:space="preserve"> </v>
      </c>
      <c r="M149" s="1799" t="str">
        <f t="shared" si="34"/>
        <v xml:space="preserve"> </v>
      </c>
      <c r="N149" s="1799" t="str">
        <f t="shared" si="37"/>
        <v xml:space="preserve"> </v>
      </c>
    </row>
    <row r="150" spans="3:14">
      <c r="C150" s="1061" t="s">
        <v>689</v>
      </c>
      <c r="D150" s="1811" t="s">
        <v>339</v>
      </c>
      <c r="E150" s="1063" t="s">
        <v>727</v>
      </c>
      <c r="F150" s="1064"/>
      <c r="G150" s="1063" t="s">
        <v>728</v>
      </c>
      <c r="H150" s="1065">
        <v>8453529.0700000003</v>
      </c>
      <c r="I150" s="1066" t="s">
        <v>293</v>
      </c>
      <c r="J150" s="1799">
        <f t="shared" si="36"/>
        <v>8453529.0700000003</v>
      </c>
      <c r="K150" s="1776" t="str">
        <f t="shared" si="32"/>
        <v xml:space="preserve"> </v>
      </c>
      <c r="L150" s="1776" t="str">
        <f t="shared" si="33"/>
        <v xml:space="preserve"> </v>
      </c>
      <c r="M150" s="1799" t="str">
        <f t="shared" si="34"/>
        <v xml:space="preserve"> </v>
      </c>
      <c r="N150" s="1799" t="str">
        <f t="shared" si="37"/>
        <v xml:space="preserve"> </v>
      </c>
    </row>
    <row r="151" spans="3:14">
      <c r="C151" s="1061" t="s">
        <v>689</v>
      </c>
      <c r="D151" s="1811" t="s">
        <v>339</v>
      </c>
      <c r="E151" s="1063" t="s">
        <v>729</v>
      </c>
      <c r="F151" s="1064"/>
      <c r="G151" s="1063" t="s">
        <v>730</v>
      </c>
      <c r="H151" s="1065">
        <v>355964.91</v>
      </c>
      <c r="I151" s="1066" t="s">
        <v>302</v>
      </c>
      <c r="J151" s="1799" t="str">
        <f t="shared" si="36"/>
        <v xml:space="preserve"> </v>
      </c>
      <c r="K151" s="1776" t="str">
        <f t="shared" si="32"/>
        <v xml:space="preserve"> </v>
      </c>
      <c r="L151" s="1776" t="str">
        <f t="shared" si="33"/>
        <v xml:space="preserve"> </v>
      </c>
      <c r="M151" s="1799" t="str">
        <f t="shared" si="34"/>
        <v xml:space="preserve"> </v>
      </c>
      <c r="N151" s="1799">
        <f t="shared" si="37"/>
        <v>355964.91</v>
      </c>
    </row>
    <row r="152" spans="3:14">
      <c r="C152" s="1061" t="s">
        <v>689</v>
      </c>
      <c r="D152" s="1811" t="s">
        <v>339</v>
      </c>
      <c r="E152" s="1063" t="s">
        <v>731</v>
      </c>
      <c r="F152" s="1064"/>
      <c r="G152" s="1063" t="s">
        <v>732</v>
      </c>
      <c r="H152" s="1065">
        <v>3563459.99</v>
      </c>
      <c r="I152" s="1066" t="s">
        <v>302</v>
      </c>
      <c r="J152" s="1799" t="str">
        <f t="shared" si="36"/>
        <v xml:space="preserve"> </v>
      </c>
      <c r="K152" s="1776" t="str">
        <f t="shared" si="32"/>
        <v xml:space="preserve"> </v>
      </c>
      <c r="L152" s="1776" t="str">
        <f t="shared" si="33"/>
        <v xml:space="preserve"> </v>
      </c>
      <c r="M152" s="1799" t="str">
        <f t="shared" si="34"/>
        <v xml:space="preserve"> </v>
      </c>
      <c r="N152" s="1799">
        <f t="shared" si="37"/>
        <v>3563459.99</v>
      </c>
    </row>
    <row r="153" spans="3:14">
      <c r="C153" s="1061" t="s">
        <v>689</v>
      </c>
      <c r="D153" s="1811" t="s">
        <v>339</v>
      </c>
      <c r="E153" s="1063" t="s">
        <v>733</v>
      </c>
      <c r="F153" s="1064"/>
      <c r="G153" s="1063" t="s">
        <v>734</v>
      </c>
      <c r="H153" s="1065">
        <v>401.13999999999942</v>
      </c>
      <c r="I153" s="1066" t="s">
        <v>160</v>
      </c>
      <c r="J153" s="1799" t="str">
        <f t="shared" si="36"/>
        <v xml:space="preserve"> </v>
      </c>
      <c r="K153" s="1776" t="str">
        <f t="shared" si="32"/>
        <v xml:space="preserve"> </v>
      </c>
      <c r="L153" s="1776">
        <f t="shared" si="33"/>
        <v>401.13999999999942</v>
      </c>
      <c r="M153" s="1799" t="str">
        <f t="shared" si="34"/>
        <v xml:space="preserve"> </v>
      </c>
      <c r="N153" s="1799" t="str">
        <f t="shared" si="37"/>
        <v xml:space="preserve"> </v>
      </c>
    </row>
    <row r="154" spans="3:14">
      <c r="C154" s="1061" t="s">
        <v>689</v>
      </c>
      <c r="D154" s="1811" t="s">
        <v>339</v>
      </c>
      <c r="E154" s="1063" t="s">
        <v>735</v>
      </c>
      <c r="F154" s="1064"/>
      <c r="G154" s="1063" t="s">
        <v>736</v>
      </c>
      <c r="H154" s="1065">
        <v>2201133.8699999996</v>
      </c>
      <c r="I154" s="1066" t="s">
        <v>302</v>
      </c>
      <c r="J154" s="1799" t="str">
        <f t="shared" si="36"/>
        <v xml:space="preserve"> </v>
      </c>
      <c r="K154" s="1776" t="str">
        <f t="shared" si="32"/>
        <v xml:space="preserve"> </v>
      </c>
      <c r="L154" s="1776" t="str">
        <f t="shared" si="33"/>
        <v xml:space="preserve"> </v>
      </c>
      <c r="M154" s="1799" t="str">
        <f t="shared" si="34"/>
        <v xml:space="preserve"> </v>
      </c>
      <c r="N154" s="1799">
        <f t="shared" si="37"/>
        <v>2201133.8699999996</v>
      </c>
    </row>
    <row r="155" spans="3:14">
      <c r="C155" s="1061" t="s">
        <v>689</v>
      </c>
      <c r="D155" s="1811" t="s">
        <v>339</v>
      </c>
      <c r="E155" s="1063" t="s">
        <v>737</v>
      </c>
      <c r="F155" s="1064"/>
      <c r="G155" s="1063" t="s">
        <v>738</v>
      </c>
      <c r="H155" s="1065">
        <v>401.04000000000008</v>
      </c>
      <c r="I155" s="1066" t="s">
        <v>293</v>
      </c>
      <c r="J155" s="1799">
        <f t="shared" si="36"/>
        <v>401.04000000000008</v>
      </c>
      <c r="K155" s="1776" t="str">
        <f t="shared" si="32"/>
        <v xml:space="preserve"> </v>
      </c>
      <c r="L155" s="1776" t="str">
        <f t="shared" si="33"/>
        <v xml:space="preserve"> </v>
      </c>
      <c r="M155" s="1799" t="str">
        <f t="shared" si="34"/>
        <v xml:space="preserve"> </v>
      </c>
      <c r="N155" s="1799" t="str">
        <f t="shared" si="37"/>
        <v xml:space="preserve"> </v>
      </c>
    </row>
    <row r="156" spans="3:14">
      <c r="C156" s="1061" t="s">
        <v>689</v>
      </c>
      <c r="D156" s="1811" t="s">
        <v>339</v>
      </c>
      <c r="E156" s="1063" t="s">
        <v>739</v>
      </c>
      <c r="F156" s="1064"/>
      <c r="G156" s="1063" t="s">
        <v>740</v>
      </c>
      <c r="H156" s="1065">
        <v>24513.769999999997</v>
      </c>
      <c r="I156" s="1066" t="s">
        <v>302</v>
      </c>
      <c r="J156" s="1799" t="str">
        <f t="shared" si="36"/>
        <v xml:space="preserve"> </v>
      </c>
      <c r="K156" s="1776" t="str">
        <f t="shared" si="32"/>
        <v xml:space="preserve"> </v>
      </c>
      <c r="L156" s="1776" t="str">
        <f t="shared" si="33"/>
        <v xml:space="preserve"> </v>
      </c>
      <c r="M156" s="1799" t="str">
        <f t="shared" si="34"/>
        <v xml:space="preserve"> </v>
      </c>
      <c r="N156" s="1799">
        <f t="shared" si="37"/>
        <v>24513.769999999997</v>
      </c>
    </row>
    <row r="157" spans="3:14">
      <c r="C157" s="1061" t="s">
        <v>689</v>
      </c>
      <c r="D157" s="1811" t="s">
        <v>339</v>
      </c>
      <c r="E157" s="1063" t="s">
        <v>741</v>
      </c>
      <c r="F157" s="1064"/>
      <c r="G157" s="1063" t="s">
        <v>742</v>
      </c>
      <c r="H157" s="1065">
        <v>0</v>
      </c>
      <c r="I157" s="1066" t="s">
        <v>293</v>
      </c>
      <c r="J157" s="1799">
        <f t="shared" si="36"/>
        <v>0</v>
      </c>
      <c r="K157" s="1776" t="str">
        <f t="shared" si="32"/>
        <v xml:space="preserve"> </v>
      </c>
      <c r="L157" s="1776" t="str">
        <f t="shared" si="33"/>
        <v xml:space="preserve"> </v>
      </c>
      <c r="M157" s="1799" t="str">
        <f t="shared" si="34"/>
        <v xml:space="preserve"> </v>
      </c>
      <c r="N157" s="1799" t="str">
        <f t="shared" si="37"/>
        <v xml:space="preserve"> </v>
      </c>
    </row>
    <row r="158" spans="3:14">
      <c r="C158" s="1061" t="s">
        <v>689</v>
      </c>
      <c r="D158" s="1811"/>
      <c r="E158" s="1063" t="s">
        <v>743</v>
      </c>
      <c r="F158" s="1064"/>
      <c r="G158" s="1063" t="s">
        <v>744</v>
      </c>
      <c r="H158" s="1065">
        <v>0.12000000000000001</v>
      </c>
      <c r="I158" s="1066" t="s">
        <v>160</v>
      </c>
      <c r="J158" s="1799" t="str">
        <f t="shared" si="36"/>
        <v xml:space="preserve"> </v>
      </c>
      <c r="K158" s="1776" t="str">
        <f t="shared" si="32"/>
        <v xml:space="preserve"> </v>
      </c>
      <c r="L158" s="1776">
        <f t="shared" si="33"/>
        <v>0.12000000000000001</v>
      </c>
      <c r="M158" s="1799" t="str">
        <f t="shared" si="34"/>
        <v xml:space="preserve"> </v>
      </c>
      <c r="N158" s="1799" t="str">
        <f t="shared" si="37"/>
        <v xml:space="preserve"> </v>
      </c>
    </row>
    <row r="159" spans="3:14">
      <c r="C159" s="1061" t="s">
        <v>689</v>
      </c>
      <c r="D159" s="1811"/>
      <c r="E159" s="1063" t="s">
        <v>745</v>
      </c>
      <c r="F159" s="1064"/>
      <c r="G159" s="1063" t="s">
        <v>746</v>
      </c>
      <c r="H159" s="1065">
        <v>-407180.33999999997</v>
      </c>
      <c r="I159" s="1066" t="s">
        <v>293</v>
      </c>
      <c r="J159" s="1799">
        <f t="shared" si="36"/>
        <v>-407180.33999999997</v>
      </c>
      <c r="K159" s="1776" t="str">
        <f t="shared" si="32"/>
        <v xml:space="preserve"> </v>
      </c>
      <c r="L159" s="1776" t="str">
        <f t="shared" si="33"/>
        <v xml:space="preserve"> </v>
      </c>
      <c r="M159" s="1799" t="str">
        <f t="shared" si="34"/>
        <v xml:space="preserve"> </v>
      </c>
      <c r="N159" s="1799" t="str">
        <f t="shared" si="37"/>
        <v xml:space="preserve"> </v>
      </c>
    </row>
    <row r="160" spans="3:14">
      <c r="C160" s="1061" t="s">
        <v>689</v>
      </c>
      <c r="D160" s="1811"/>
      <c r="E160" s="1063" t="s">
        <v>745</v>
      </c>
      <c r="F160" s="1064"/>
      <c r="G160" s="1063" t="s">
        <v>747</v>
      </c>
      <c r="H160" s="1065">
        <v>432254.4</v>
      </c>
      <c r="I160" s="1066" t="s">
        <v>293</v>
      </c>
      <c r="J160" s="1799">
        <f t="shared" si="36"/>
        <v>432254.4</v>
      </c>
      <c r="K160" s="1776" t="str">
        <f t="shared" si="32"/>
        <v xml:space="preserve"> </v>
      </c>
      <c r="L160" s="1776" t="str">
        <f t="shared" si="33"/>
        <v xml:space="preserve"> </v>
      </c>
      <c r="M160" s="1799" t="str">
        <f t="shared" si="34"/>
        <v xml:space="preserve"> </v>
      </c>
      <c r="N160" s="1799" t="str">
        <f t="shared" si="37"/>
        <v xml:space="preserve"> </v>
      </c>
    </row>
    <row r="161" spans="3:14">
      <c r="C161" s="1061" t="s">
        <v>689</v>
      </c>
      <c r="D161" s="1811"/>
      <c r="E161" s="1063" t="s">
        <v>748</v>
      </c>
      <c r="F161" s="1064"/>
      <c r="G161" s="1063" t="s">
        <v>749</v>
      </c>
      <c r="H161" s="1065">
        <v>4633.8600000000006</v>
      </c>
      <c r="I161" s="1066" t="s">
        <v>293</v>
      </c>
      <c r="J161" s="1799">
        <f t="shared" si="36"/>
        <v>4633.8600000000006</v>
      </c>
      <c r="K161" s="1776" t="str">
        <f t="shared" si="32"/>
        <v xml:space="preserve"> </v>
      </c>
      <c r="L161" s="1776" t="str">
        <f t="shared" si="33"/>
        <v xml:space="preserve"> </v>
      </c>
      <c r="M161" s="1799" t="str">
        <f t="shared" si="34"/>
        <v xml:space="preserve"> </v>
      </c>
      <c r="N161" s="1799" t="str">
        <f t="shared" si="37"/>
        <v xml:space="preserve"> </v>
      </c>
    </row>
    <row r="162" spans="3:14">
      <c r="C162" s="1061" t="s">
        <v>689</v>
      </c>
      <c r="D162" s="1811"/>
      <c r="E162" s="1063" t="s">
        <v>748</v>
      </c>
      <c r="F162" s="1064"/>
      <c r="G162" s="1063" t="s">
        <v>750</v>
      </c>
      <c r="H162" s="1065">
        <v>0</v>
      </c>
      <c r="I162" s="1066" t="s">
        <v>293</v>
      </c>
      <c r="J162" s="1799">
        <f t="shared" si="36"/>
        <v>0</v>
      </c>
      <c r="K162" s="1776" t="str">
        <f t="shared" si="32"/>
        <v xml:space="preserve"> </v>
      </c>
      <c r="L162" s="1776" t="str">
        <f t="shared" si="33"/>
        <v xml:space="preserve"> </v>
      </c>
      <c r="M162" s="1799" t="str">
        <f t="shared" si="34"/>
        <v xml:space="preserve"> </v>
      </c>
      <c r="N162" s="1799" t="str">
        <f t="shared" si="37"/>
        <v xml:space="preserve"> </v>
      </c>
    </row>
    <row r="163" spans="3:14">
      <c r="C163" s="1061" t="s">
        <v>689</v>
      </c>
      <c r="D163" s="1811"/>
      <c r="E163" s="1063" t="s">
        <v>1013</v>
      </c>
      <c r="F163" s="1064"/>
      <c r="G163" s="1063" t="s">
        <v>751</v>
      </c>
      <c r="H163" s="1065">
        <v>-372842.4</v>
      </c>
      <c r="I163" s="1066" t="s">
        <v>293</v>
      </c>
      <c r="J163" s="1799">
        <f t="shared" si="36"/>
        <v>-372842.4</v>
      </c>
      <c r="K163" s="1776" t="str">
        <f t="shared" si="32"/>
        <v xml:space="preserve"> </v>
      </c>
      <c r="L163" s="1776" t="str">
        <f t="shared" si="33"/>
        <v xml:space="preserve"> </v>
      </c>
      <c r="M163" s="1799" t="str">
        <f t="shared" si="34"/>
        <v xml:space="preserve"> </v>
      </c>
      <c r="N163" s="1799" t="str">
        <f t="shared" si="37"/>
        <v xml:space="preserve"> </v>
      </c>
    </row>
    <row r="164" spans="3:14">
      <c r="C164" s="1061" t="s">
        <v>689</v>
      </c>
      <c r="D164" s="1811"/>
      <c r="E164" s="1063" t="s">
        <v>752</v>
      </c>
      <c r="F164" s="1064"/>
      <c r="G164" s="1063" t="s">
        <v>753</v>
      </c>
      <c r="H164" s="1065">
        <v>-0.10000000000081855</v>
      </c>
      <c r="I164" s="1066" t="s">
        <v>293</v>
      </c>
      <c r="J164" s="1799">
        <f t="shared" si="36"/>
        <v>-0.10000000000081855</v>
      </c>
      <c r="K164" s="1776" t="str">
        <f t="shared" si="32"/>
        <v xml:space="preserve"> </v>
      </c>
      <c r="L164" s="1776" t="str">
        <f t="shared" si="33"/>
        <v xml:space="preserve"> </v>
      </c>
      <c r="M164" s="1799" t="str">
        <f t="shared" si="34"/>
        <v xml:space="preserve"> </v>
      </c>
      <c r="N164" s="1799" t="str">
        <f t="shared" si="37"/>
        <v xml:space="preserve"> </v>
      </c>
    </row>
    <row r="165" spans="3:14">
      <c r="C165" s="1061" t="s">
        <v>689</v>
      </c>
      <c r="D165" s="1811"/>
      <c r="E165" s="1063" t="s">
        <v>754</v>
      </c>
      <c r="F165" s="1064"/>
      <c r="G165" s="1063" t="s">
        <v>755</v>
      </c>
      <c r="H165" s="1065">
        <v>0</v>
      </c>
      <c r="I165" s="1066" t="s">
        <v>293</v>
      </c>
      <c r="J165" s="1799">
        <f t="shared" si="36"/>
        <v>0</v>
      </c>
      <c r="K165" s="1776" t="str">
        <f t="shared" si="32"/>
        <v xml:space="preserve"> </v>
      </c>
      <c r="L165" s="1776" t="str">
        <f t="shared" si="33"/>
        <v xml:space="preserve"> </v>
      </c>
      <c r="M165" s="1799" t="str">
        <f t="shared" si="34"/>
        <v xml:space="preserve"> </v>
      </c>
      <c r="N165" s="1799" t="str">
        <f t="shared" si="37"/>
        <v xml:space="preserve"> </v>
      </c>
    </row>
    <row r="166" spans="3:14">
      <c r="C166" s="1061" t="s">
        <v>689</v>
      </c>
      <c r="D166" s="1811"/>
      <c r="E166" s="1063" t="s">
        <v>756</v>
      </c>
      <c r="F166" s="1064"/>
      <c r="G166" s="1063" t="s">
        <v>757</v>
      </c>
      <c r="H166" s="1065">
        <v>232748.16000000009</v>
      </c>
      <c r="I166" s="1066" t="s">
        <v>160</v>
      </c>
      <c r="J166" s="1799" t="str">
        <f t="shared" si="36"/>
        <v xml:space="preserve"> </v>
      </c>
      <c r="K166" s="1776" t="str">
        <f t="shared" si="32"/>
        <v xml:space="preserve"> </v>
      </c>
      <c r="L166" s="1776">
        <f t="shared" si="33"/>
        <v>232748.16000000009</v>
      </c>
      <c r="M166" s="1799" t="str">
        <f t="shared" si="34"/>
        <v xml:space="preserve"> </v>
      </c>
      <c r="N166" s="1799" t="str">
        <f t="shared" si="37"/>
        <v xml:space="preserve"> </v>
      </c>
    </row>
    <row r="167" spans="3:14">
      <c r="C167" s="1061" t="s">
        <v>689</v>
      </c>
      <c r="D167" s="1811"/>
      <c r="E167" s="1063" t="s">
        <v>758</v>
      </c>
      <c r="F167" s="1064"/>
      <c r="G167" s="1063" t="s">
        <v>759</v>
      </c>
      <c r="H167" s="1065">
        <v>57310.169999999991</v>
      </c>
      <c r="I167" s="1066" t="s">
        <v>293</v>
      </c>
      <c r="J167" s="1799">
        <f t="shared" si="36"/>
        <v>57310.169999999991</v>
      </c>
      <c r="K167" s="1776" t="str">
        <f t="shared" si="32"/>
        <v xml:space="preserve"> </v>
      </c>
      <c r="L167" s="1776" t="str">
        <f t="shared" si="33"/>
        <v xml:space="preserve"> </v>
      </c>
      <c r="M167" s="1799" t="str">
        <f t="shared" si="34"/>
        <v xml:space="preserve"> </v>
      </c>
      <c r="N167" s="1799" t="str">
        <f t="shared" si="37"/>
        <v xml:space="preserve"> </v>
      </c>
    </row>
    <row r="168" spans="3:14">
      <c r="C168" s="1061" t="s">
        <v>689</v>
      </c>
      <c r="D168" s="1811"/>
      <c r="E168" s="1063" t="s">
        <v>760</v>
      </c>
      <c r="F168" s="1064"/>
      <c r="G168" s="1063" t="s">
        <v>761</v>
      </c>
      <c r="H168" s="1065">
        <v>11009942.769999994</v>
      </c>
      <c r="I168" s="1066" t="s">
        <v>293</v>
      </c>
      <c r="J168" s="1799">
        <f t="shared" si="36"/>
        <v>11009942.769999994</v>
      </c>
      <c r="K168" s="1776" t="str">
        <f t="shared" si="32"/>
        <v xml:space="preserve"> </v>
      </c>
      <c r="L168" s="1776" t="str">
        <f t="shared" si="33"/>
        <v xml:space="preserve"> </v>
      </c>
      <c r="M168" s="1799" t="str">
        <f t="shared" si="34"/>
        <v xml:space="preserve"> </v>
      </c>
      <c r="N168" s="1799" t="str">
        <f t="shared" si="37"/>
        <v xml:space="preserve"> </v>
      </c>
    </row>
    <row r="169" spans="3:14">
      <c r="C169" s="1061" t="s">
        <v>689</v>
      </c>
      <c r="D169" s="1811"/>
      <c r="E169" s="1063" t="s">
        <v>762</v>
      </c>
      <c r="F169" s="1064"/>
      <c r="G169" s="1063" t="s">
        <v>763</v>
      </c>
      <c r="H169" s="1065">
        <v>3435999.85</v>
      </c>
      <c r="I169" s="1066" t="s">
        <v>293</v>
      </c>
      <c r="J169" s="1799">
        <f t="shared" si="36"/>
        <v>3435999.85</v>
      </c>
      <c r="K169" s="1776" t="str">
        <f t="shared" si="32"/>
        <v xml:space="preserve"> </v>
      </c>
      <c r="L169" s="1776" t="str">
        <f t="shared" si="33"/>
        <v xml:space="preserve"> </v>
      </c>
      <c r="M169" s="1799" t="str">
        <f t="shared" si="34"/>
        <v xml:space="preserve"> </v>
      </c>
      <c r="N169" s="1799" t="str">
        <f t="shared" si="37"/>
        <v xml:space="preserve"> </v>
      </c>
    </row>
    <row r="170" spans="3:14">
      <c r="C170" s="1061" t="s">
        <v>689</v>
      </c>
      <c r="D170" s="1811"/>
      <c r="E170" s="1063" t="s">
        <v>1436</v>
      </c>
      <c r="F170" s="1064"/>
      <c r="G170" s="1063" t="s">
        <v>1549</v>
      </c>
      <c r="H170" s="1065">
        <v>324143.10000000003</v>
      </c>
      <c r="I170" s="1066" t="s">
        <v>293</v>
      </c>
      <c r="J170" s="1799">
        <f t="shared" si="36"/>
        <v>324143.10000000003</v>
      </c>
      <c r="K170" s="1776" t="str">
        <f t="shared" si="32"/>
        <v xml:space="preserve"> </v>
      </c>
      <c r="L170" s="1776" t="str">
        <f t="shared" si="33"/>
        <v xml:space="preserve"> </v>
      </c>
      <c r="M170" s="1799" t="str">
        <f t="shared" si="34"/>
        <v xml:space="preserve"> </v>
      </c>
      <c r="N170" s="1799" t="str">
        <f t="shared" si="37"/>
        <v xml:space="preserve"> </v>
      </c>
    </row>
    <row r="171" spans="3:14">
      <c r="C171" s="1061" t="s">
        <v>689</v>
      </c>
      <c r="D171" s="1811"/>
      <c r="E171" s="1063" t="s">
        <v>1437</v>
      </c>
      <c r="F171" s="1064"/>
      <c r="G171" s="1063" t="s">
        <v>1550</v>
      </c>
      <c r="H171" s="1065">
        <v>861751.19</v>
      </c>
      <c r="I171" s="1066" t="s">
        <v>293</v>
      </c>
      <c r="J171" s="1799">
        <f t="shared" si="36"/>
        <v>861751.19</v>
      </c>
      <c r="K171" s="1776" t="str">
        <f t="shared" si="32"/>
        <v xml:space="preserve"> </v>
      </c>
      <c r="L171" s="1776" t="str">
        <f t="shared" si="33"/>
        <v xml:space="preserve"> </v>
      </c>
      <c r="M171" s="1799" t="str">
        <f t="shared" si="34"/>
        <v xml:space="preserve"> </v>
      </c>
      <c r="N171" s="1799" t="str">
        <f t="shared" si="37"/>
        <v xml:space="preserve"> </v>
      </c>
    </row>
    <row r="172" spans="3:14">
      <c r="C172" s="1061" t="s">
        <v>689</v>
      </c>
      <c r="D172" s="1811"/>
      <c r="E172" s="1063" t="s">
        <v>1438</v>
      </c>
      <c r="F172" s="1064"/>
      <c r="G172" s="1063" t="s">
        <v>1551</v>
      </c>
      <c r="H172" s="1065">
        <v>-15085.529999999997</v>
      </c>
      <c r="I172" s="1066" t="s">
        <v>293</v>
      </c>
      <c r="J172" s="1799">
        <f t="shared" si="36"/>
        <v>-15085.529999999997</v>
      </c>
      <c r="K172" s="1776" t="str">
        <f t="shared" si="32"/>
        <v xml:space="preserve"> </v>
      </c>
      <c r="L172" s="1776" t="str">
        <f t="shared" si="33"/>
        <v xml:space="preserve"> </v>
      </c>
      <c r="M172" s="1799" t="str">
        <f t="shared" si="34"/>
        <v xml:space="preserve"> </v>
      </c>
      <c r="N172" s="1799" t="str">
        <f t="shared" si="37"/>
        <v xml:space="preserve"> </v>
      </c>
    </row>
    <row r="173" spans="3:14">
      <c r="C173" s="1061" t="s">
        <v>689</v>
      </c>
      <c r="D173" s="1811"/>
      <c r="E173" s="1063" t="s">
        <v>1439</v>
      </c>
      <c r="F173" s="1064"/>
      <c r="G173" s="1063" t="s">
        <v>1552</v>
      </c>
      <c r="H173" s="1065">
        <v>-74835.449999999968</v>
      </c>
      <c r="I173" s="1066" t="s">
        <v>293</v>
      </c>
      <c r="J173" s="1799">
        <f t="shared" si="36"/>
        <v>-74835.449999999968</v>
      </c>
      <c r="K173" s="1776" t="str">
        <f t="shared" si="32"/>
        <v xml:space="preserve"> </v>
      </c>
      <c r="L173" s="1776" t="str">
        <f t="shared" si="33"/>
        <v xml:space="preserve"> </v>
      </c>
      <c r="M173" s="1799" t="str">
        <f t="shared" si="34"/>
        <v xml:space="preserve"> </v>
      </c>
      <c r="N173" s="1799" t="str">
        <f t="shared" si="37"/>
        <v xml:space="preserve"> </v>
      </c>
    </row>
    <row r="174" spans="3:14">
      <c r="C174" s="1061" t="s">
        <v>689</v>
      </c>
      <c r="D174" s="1811"/>
      <c r="E174" s="1063" t="s">
        <v>1440</v>
      </c>
      <c r="F174" s="1064"/>
      <c r="G174" s="1063" t="s">
        <v>1553</v>
      </c>
      <c r="H174" s="1065">
        <v>33571.800000000003</v>
      </c>
      <c r="I174" s="1066" t="s">
        <v>293</v>
      </c>
      <c r="J174" s="1799">
        <f t="shared" si="36"/>
        <v>33571.800000000003</v>
      </c>
      <c r="K174" s="1776" t="str">
        <f t="shared" si="32"/>
        <v xml:space="preserve"> </v>
      </c>
      <c r="L174" s="1776" t="str">
        <f t="shared" si="33"/>
        <v xml:space="preserve"> </v>
      </c>
      <c r="M174" s="1799" t="str">
        <f t="shared" si="34"/>
        <v xml:space="preserve"> </v>
      </c>
      <c r="N174" s="1799" t="str">
        <f t="shared" si="37"/>
        <v xml:space="preserve"> </v>
      </c>
    </row>
    <row r="175" spans="3:14">
      <c r="C175" s="1061" t="s">
        <v>689</v>
      </c>
      <c r="D175" s="1811"/>
      <c r="E175" s="1063" t="s">
        <v>1441</v>
      </c>
      <c r="F175" s="1064"/>
      <c r="G175" s="1063" t="s">
        <v>1554</v>
      </c>
      <c r="H175" s="1065">
        <v>10131.530000000012</v>
      </c>
      <c r="I175" s="1066" t="s">
        <v>293</v>
      </c>
      <c r="J175" s="1799">
        <f t="shared" si="36"/>
        <v>10131.530000000012</v>
      </c>
      <c r="K175" s="1776" t="str">
        <f t="shared" si="32"/>
        <v xml:space="preserve"> </v>
      </c>
      <c r="L175" s="1776" t="str">
        <f t="shared" si="33"/>
        <v xml:space="preserve"> </v>
      </c>
      <c r="M175" s="1799" t="str">
        <f t="shared" si="34"/>
        <v xml:space="preserve"> </v>
      </c>
      <c r="N175" s="1799" t="str">
        <f t="shared" si="37"/>
        <v xml:space="preserve"> </v>
      </c>
    </row>
    <row r="176" spans="3:14">
      <c r="C176" s="1061" t="s">
        <v>689</v>
      </c>
      <c r="D176" s="1811"/>
      <c r="E176" s="1063" t="s">
        <v>1442</v>
      </c>
      <c r="F176" s="1064"/>
      <c r="G176" s="1063" t="s">
        <v>1555</v>
      </c>
      <c r="H176" s="1065">
        <v>0</v>
      </c>
      <c r="I176" s="1066" t="s">
        <v>293</v>
      </c>
      <c r="J176" s="1799">
        <f t="shared" si="36"/>
        <v>0</v>
      </c>
      <c r="K176" s="1776" t="str">
        <f t="shared" si="32"/>
        <v xml:space="preserve"> </v>
      </c>
      <c r="L176" s="1776" t="str">
        <f t="shared" si="33"/>
        <v xml:space="preserve"> </v>
      </c>
      <c r="M176" s="1799" t="str">
        <f t="shared" si="34"/>
        <v xml:space="preserve"> </v>
      </c>
      <c r="N176" s="1799" t="str">
        <f t="shared" si="37"/>
        <v xml:space="preserve"> </v>
      </c>
    </row>
    <row r="177" spans="3:14">
      <c r="C177" s="1061" t="s">
        <v>689</v>
      </c>
      <c r="D177" s="1811"/>
      <c r="E177" s="1063" t="s">
        <v>1561</v>
      </c>
      <c r="F177" s="1064"/>
      <c r="G177" s="1063" t="s">
        <v>1556</v>
      </c>
      <c r="H177" s="1065">
        <v>397508.68</v>
      </c>
      <c r="I177" s="1066" t="s">
        <v>293</v>
      </c>
      <c r="J177" s="1799">
        <f t="shared" si="36"/>
        <v>397508.68</v>
      </c>
      <c r="K177" s="1776" t="str">
        <f t="shared" si="32"/>
        <v xml:space="preserve"> </v>
      </c>
      <c r="L177" s="1776" t="str">
        <f t="shared" si="33"/>
        <v xml:space="preserve"> </v>
      </c>
      <c r="M177" s="1799" t="str">
        <f t="shared" si="34"/>
        <v xml:space="preserve"> </v>
      </c>
      <c r="N177" s="1799" t="str">
        <f t="shared" si="37"/>
        <v xml:space="preserve"> </v>
      </c>
    </row>
    <row r="178" spans="3:14">
      <c r="C178" s="1061" t="s">
        <v>689</v>
      </c>
      <c r="D178" s="1811"/>
      <c r="E178" s="1063" t="s">
        <v>1562</v>
      </c>
      <c r="F178" s="1064"/>
      <c r="G178" s="1063" t="s">
        <v>1557</v>
      </c>
      <c r="H178" s="1065">
        <v>475517.3899999999</v>
      </c>
      <c r="I178" s="1066" t="s">
        <v>293</v>
      </c>
      <c r="J178" s="1799">
        <f t="shared" si="36"/>
        <v>475517.3899999999</v>
      </c>
      <c r="K178" s="1776" t="str">
        <f t="shared" si="32"/>
        <v xml:space="preserve"> </v>
      </c>
      <c r="L178" s="1776" t="str">
        <f t="shared" si="33"/>
        <v xml:space="preserve"> </v>
      </c>
      <c r="M178" s="1799" t="str">
        <f t="shared" si="34"/>
        <v xml:space="preserve"> </v>
      </c>
      <c r="N178" s="1799" t="str">
        <f t="shared" si="37"/>
        <v xml:space="preserve"> </v>
      </c>
    </row>
    <row r="179" spans="3:14">
      <c r="C179" s="1061" t="s">
        <v>689</v>
      </c>
      <c r="D179" s="1811"/>
      <c r="E179" s="1063" t="s">
        <v>1563</v>
      </c>
      <c r="F179" s="1064"/>
      <c r="G179" s="1063" t="s">
        <v>1558</v>
      </c>
      <c r="H179" s="1065">
        <v>540698.40999999992</v>
      </c>
      <c r="I179" s="1066" t="s">
        <v>293</v>
      </c>
      <c r="J179" s="1799">
        <f t="shared" si="36"/>
        <v>540698.40999999992</v>
      </c>
      <c r="K179" s="1776" t="str">
        <f t="shared" si="32"/>
        <v xml:space="preserve"> </v>
      </c>
      <c r="L179" s="1776" t="str">
        <f t="shared" si="33"/>
        <v xml:space="preserve"> </v>
      </c>
      <c r="M179" s="1799" t="str">
        <f t="shared" si="34"/>
        <v xml:space="preserve"> </v>
      </c>
      <c r="N179" s="1799" t="str">
        <f t="shared" si="37"/>
        <v xml:space="preserve"> </v>
      </c>
    </row>
    <row r="180" spans="3:14">
      <c r="C180" s="1061" t="s">
        <v>689</v>
      </c>
      <c r="D180" s="1811"/>
      <c r="E180" s="1063" t="s">
        <v>1564</v>
      </c>
      <c r="F180" s="1064"/>
      <c r="G180" s="1063" t="s">
        <v>1559</v>
      </c>
      <c r="H180" s="1065">
        <v>13697.83</v>
      </c>
      <c r="I180" s="1066" t="s">
        <v>293</v>
      </c>
      <c r="J180" s="1799">
        <f t="shared" si="36"/>
        <v>13697.83</v>
      </c>
      <c r="K180" s="1776" t="str">
        <f t="shared" si="32"/>
        <v xml:space="preserve"> </v>
      </c>
      <c r="L180" s="1776" t="str">
        <f t="shared" si="33"/>
        <v xml:space="preserve"> </v>
      </c>
      <c r="M180" s="1799" t="str">
        <f t="shared" si="34"/>
        <v xml:space="preserve"> </v>
      </c>
      <c r="N180" s="1799" t="str">
        <f t="shared" si="37"/>
        <v xml:space="preserve"> </v>
      </c>
    </row>
    <row r="181" spans="3:14">
      <c r="C181" s="1061" t="s">
        <v>689</v>
      </c>
      <c r="D181" s="1811"/>
      <c r="E181" s="1063" t="s">
        <v>1565</v>
      </c>
      <c r="F181" s="1064"/>
      <c r="G181" s="1063" t="s">
        <v>1560</v>
      </c>
      <c r="H181" s="1065">
        <v>20278.239999999998</v>
      </c>
      <c r="I181" s="1066" t="s">
        <v>293</v>
      </c>
      <c r="J181" s="1799">
        <f t="shared" si="36"/>
        <v>20278.239999999998</v>
      </c>
      <c r="K181" s="1776" t="str">
        <f t="shared" si="32"/>
        <v xml:space="preserve"> </v>
      </c>
      <c r="L181" s="1776" t="str">
        <f t="shared" si="33"/>
        <v xml:space="preserve"> </v>
      </c>
      <c r="M181" s="1799" t="str">
        <f t="shared" si="34"/>
        <v xml:space="preserve"> </v>
      </c>
      <c r="N181" s="1799" t="str">
        <f t="shared" si="37"/>
        <v xml:space="preserve"> </v>
      </c>
    </row>
    <row r="182" spans="3:14">
      <c r="C182" s="1061" t="s">
        <v>689</v>
      </c>
      <c r="D182" s="1811" t="s">
        <v>339</v>
      </c>
      <c r="E182" s="1063" t="s">
        <v>764</v>
      </c>
      <c r="F182" s="1064"/>
      <c r="G182" s="1063" t="s">
        <v>765</v>
      </c>
      <c r="H182" s="1065">
        <v>-182478.83999999997</v>
      </c>
      <c r="I182" s="1066" t="s">
        <v>293</v>
      </c>
      <c r="J182" s="1799">
        <f t="shared" si="36"/>
        <v>-182478.83999999997</v>
      </c>
      <c r="K182" s="1776" t="str">
        <f t="shared" si="32"/>
        <v xml:space="preserve"> </v>
      </c>
      <c r="L182" s="1776" t="str">
        <f t="shared" si="33"/>
        <v xml:space="preserve"> </v>
      </c>
      <c r="M182" s="1799" t="str">
        <f t="shared" si="34"/>
        <v xml:space="preserve"> </v>
      </c>
      <c r="N182" s="1799" t="str">
        <f t="shared" si="37"/>
        <v xml:space="preserve"> </v>
      </c>
    </row>
    <row r="183" spans="3:14">
      <c r="C183" s="1061" t="s">
        <v>689</v>
      </c>
      <c r="D183" s="1811" t="s">
        <v>339</v>
      </c>
      <c r="E183" s="1063" t="s">
        <v>1566</v>
      </c>
      <c r="F183" s="1064"/>
      <c r="G183" s="1063" t="s">
        <v>1567</v>
      </c>
      <c r="H183" s="1065">
        <v>20162.800000000003</v>
      </c>
      <c r="I183" s="1066" t="s">
        <v>293</v>
      </c>
      <c r="J183" s="1799">
        <f t="shared" si="36"/>
        <v>20162.800000000003</v>
      </c>
      <c r="K183" s="1776" t="str">
        <f t="shared" si="32"/>
        <v xml:space="preserve"> </v>
      </c>
      <c r="L183" s="1776" t="str">
        <f t="shared" si="33"/>
        <v xml:space="preserve"> </v>
      </c>
      <c r="M183" s="1799" t="str">
        <f t="shared" si="34"/>
        <v xml:space="preserve"> </v>
      </c>
      <c r="N183" s="1799" t="str">
        <f t="shared" si="37"/>
        <v xml:space="preserve"> </v>
      </c>
    </row>
    <row r="184" spans="3:14">
      <c r="C184" s="1061" t="s">
        <v>689</v>
      </c>
      <c r="D184" s="1811" t="s">
        <v>339</v>
      </c>
      <c r="E184" s="1063" t="s">
        <v>766</v>
      </c>
      <c r="F184" s="1064"/>
      <c r="G184" s="1063" t="s">
        <v>767</v>
      </c>
      <c r="H184" s="1065">
        <v>0</v>
      </c>
      <c r="I184" s="1066" t="s">
        <v>293</v>
      </c>
      <c r="J184" s="1799">
        <f t="shared" si="36"/>
        <v>0</v>
      </c>
      <c r="K184" s="1776" t="str">
        <f t="shared" si="32"/>
        <v xml:space="preserve"> </v>
      </c>
      <c r="L184" s="1776" t="str">
        <f t="shared" si="33"/>
        <v xml:space="preserve"> </v>
      </c>
      <c r="M184" s="1799" t="str">
        <f t="shared" si="34"/>
        <v xml:space="preserve"> </v>
      </c>
      <c r="N184" s="1799" t="str">
        <f t="shared" si="37"/>
        <v xml:space="preserve"> </v>
      </c>
    </row>
    <row r="185" spans="3:14">
      <c r="C185" s="1061" t="s">
        <v>689</v>
      </c>
      <c r="D185" s="1811" t="s">
        <v>339</v>
      </c>
      <c r="E185" s="1063" t="s">
        <v>768</v>
      </c>
      <c r="F185" s="1064"/>
      <c r="G185" s="1063" t="s">
        <v>769</v>
      </c>
      <c r="H185" s="1065">
        <v>1271788.98</v>
      </c>
      <c r="I185" s="1066" t="s">
        <v>293</v>
      </c>
      <c r="J185" s="1799">
        <f t="shared" si="36"/>
        <v>1271788.98</v>
      </c>
      <c r="K185" s="1776" t="str">
        <f t="shared" si="32"/>
        <v xml:space="preserve"> </v>
      </c>
      <c r="L185" s="1776" t="str">
        <f t="shared" si="33"/>
        <v xml:space="preserve"> </v>
      </c>
      <c r="M185" s="1799" t="str">
        <f t="shared" si="34"/>
        <v xml:space="preserve"> </v>
      </c>
      <c r="N185" s="1799" t="str">
        <f t="shared" si="37"/>
        <v xml:space="preserve"> </v>
      </c>
    </row>
    <row r="186" spans="3:14">
      <c r="C186" s="1061" t="s">
        <v>689</v>
      </c>
      <c r="D186" s="1811" t="s">
        <v>339</v>
      </c>
      <c r="E186" s="1063" t="s">
        <v>770</v>
      </c>
      <c r="F186" s="1064"/>
      <c r="G186" s="1063" t="s">
        <v>771</v>
      </c>
      <c r="H186" s="1065">
        <v>-699484.80000000028</v>
      </c>
      <c r="I186" s="1066" t="s">
        <v>293</v>
      </c>
      <c r="J186" s="1799">
        <f t="shared" si="36"/>
        <v>-699484.80000000028</v>
      </c>
      <c r="K186" s="1776" t="str">
        <f t="shared" si="32"/>
        <v xml:space="preserve"> </v>
      </c>
      <c r="L186" s="1776" t="str">
        <f t="shared" si="33"/>
        <v xml:space="preserve"> </v>
      </c>
      <c r="M186" s="1799" t="str">
        <f t="shared" si="34"/>
        <v xml:space="preserve"> </v>
      </c>
      <c r="N186" s="1799" t="str">
        <f t="shared" si="37"/>
        <v xml:space="preserve"> </v>
      </c>
    </row>
    <row r="187" spans="3:14">
      <c r="C187" s="1061" t="s">
        <v>689</v>
      </c>
      <c r="D187" s="1811" t="s">
        <v>339</v>
      </c>
      <c r="E187" s="1063" t="s">
        <v>772</v>
      </c>
      <c r="F187" s="1064"/>
      <c r="G187" s="1063" t="s">
        <v>773</v>
      </c>
      <c r="H187" s="1065">
        <v>86559.89999999998</v>
      </c>
      <c r="I187" s="1066" t="s">
        <v>293</v>
      </c>
      <c r="J187" s="1799">
        <f t="shared" si="36"/>
        <v>86559.89999999998</v>
      </c>
      <c r="K187" s="1776" t="str">
        <f t="shared" si="32"/>
        <v xml:space="preserve"> </v>
      </c>
      <c r="L187" s="1776" t="str">
        <f t="shared" si="33"/>
        <v xml:space="preserve"> </v>
      </c>
      <c r="M187" s="1799" t="str">
        <f t="shared" si="34"/>
        <v xml:space="preserve"> </v>
      </c>
      <c r="N187" s="1799" t="str">
        <f t="shared" si="37"/>
        <v xml:space="preserve"> </v>
      </c>
    </row>
    <row r="188" spans="3:14">
      <c r="C188" s="1061" t="s">
        <v>689</v>
      </c>
      <c r="D188" s="1811" t="s">
        <v>339</v>
      </c>
      <c r="E188" s="1063" t="s">
        <v>774</v>
      </c>
      <c r="F188" s="1064"/>
      <c r="G188" s="1063" t="s">
        <v>775</v>
      </c>
      <c r="H188" s="1065">
        <v>1022434.19</v>
      </c>
      <c r="I188" s="1066" t="s">
        <v>293</v>
      </c>
      <c r="J188" s="1799">
        <f t="shared" si="36"/>
        <v>1022434.19</v>
      </c>
      <c r="K188" s="1776" t="str">
        <f t="shared" si="32"/>
        <v xml:space="preserve"> </v>
      </c>
      <c r="L188" s="1776" t="str">
        <f t="shared" si="33"/>
        <v xml:space="preserve"> </v>
      </c>
      <c r="M188" s="1799" t="str">
        <f t="shared" si="34"/>
        <v xml:space="preserve"> </v>
      </c>
      <c r="N188" s="1799" t="str">
        <f t="shared" si="37"/>
        <v xml:space="preserve"> </v>
      </c>
    </row>
    <row r="189" spans="3:14">
      <c r="C189" s="1061" t="s">
        <v>689</v>
      </c>
      <c r="D189" s="1811" t="s">
        <v>339</v>
      </c>
      <c r="E189" s="1063" t="s">
        <v>776</v>
      </c>
      <c r="F189" s="1064"/>
      <c r="G189" s="1063" t="s">
        <v>777</v>
      </c>
      <c r="H189" s="1065">
        <v>26529479.079999998</v>
      </c>
      <c r="I189" s="1066" t="s">
        <v>293</v>
      </c>
      <c r="J189" s="1799">
        <f t="shared" si="36"/>
        <v>26529479.079999998</v>
      </c>
      <c r="K189" s="1776" t="str">
        <f t="shared" si="32"/>
        <v xml:space="preserve"> </v>
      </c>
      <c r="L189" s="1776" t="str">
        <f t="shared" si="33"/>
        <v xml:space="preserve"> </v>
      </c>
      <c r="M189" s="1799" t="str">
        <f t="shared" si="34"/>
        <v xml:space="preserve"> </v>
      </c>
      <c r="N189" s="1799" t="str">
        <f t="shared" si="37"/>
        <v xml:space="preserve"> </v>
      </c>
    </row>
    <row r="190" spans="3:14">
      <c r="C190" s="1061" t="s">
        <v>689</v>
      </c>
      <c r="D190" s="1811" t="s">
        <v>339</v>
      </c>
      <c r="E190" s="1063" t="s">
        <v>778</v>
      </c>
      <c r="F190" s="1064"/>
      <c r="G190" s="1063" t="s">
        <v>779</v>
      </c>
      <c r="H190" s="1065">
        <v>-20804.7</v>
      </c>
      <c r="I190" s="1066" t="s">
        <v>293</v>
      </c>
      <c r="J190" s="1799">
        <f t="shared" si="36"/>
        <v>-20804.7</v>
      </c>
      <c r="K190" s="1776" t="str">
        <f t="shared" si="32"/>
        <v xml:space="preserve"> </v>
      </c>
      <c r="L190" s="1776" t="str">
        <f t="shared" si="33"/>
        <v xml:space="preserve"> </v>
      </c>
      <c r="M190" s="1799" t="str">
        <f t="shared" si="34"/>
        <v xml:space="preserve"> </v>
      </c>
      <c r="N190" s="1799" t="str">
        <f t="shared" si="37"/>
        <v xml:space="preserve"> </v>
      </c>
    </row>
    <row r="191" spans="3:14">
      <c r="C191" s="1061" t="s">
        <v>689</v>
      </c>
      <c r="D191" s="1811" t="s">
        <v>339</v>
      </c>
      <c r="E191" s="1063" t="s">
        <v>1014</v>
      </c>
      <c r="F191" s="1064"/>
      <c r="G191" s="1063" t="s">
        <v>780</v>
      </c>
      <c r="H191" s="1065">
        <v>0</v>
      </c>
      <c r="I191" s="1066" t="s">
        <v>160</v>
      </c>
      <c r="J191" s="1799" t="str">
        <f t="shared" si="36"/>
        <v xml:space="preserve"> </v>
      </c>
      <c r="K191" s="1776" t="str">
        <f t="shared" si="32"/>
        <v xml:space="preserve"> </v>
      </c>
      <c r="L191" s="1776">
        <f t="shared" si="33"/>
        <v>0</v>
      </c>
      <c r="M191" s="1799" t="str">
        <f t="shared" si="34"/>
        <v xml:space="preserve"> </v>
      </c>
      <c r="N191" s="1799" t="str">
        <f t="shared" si="37"/>
        <v xml:space="preserve"> </v>
      </c>
    </row>
    <row r="192" spans="3:14">
      <c r="C192" s="1061" t="s">
        <v>689</v>
      </c>
      <c r="D192" s="1811" t="s">
        <v>339</v>
      </c>
      <c r="E192" s="1063" t="s">
        <v>1015</v>
      </c>
      <c r="F192" s="1064"/>
      <c r="G192" s="1063" t="s">
        <v>781</v>
      </c>
      <c r="H192" s="1065">
        <v>-457590</v>
      </c>
      <c r="I192" s="1066" t="s">
        <v>293</v>
      </c>
      <c r="J192" s="1799">
        <f t="shared" si="36"/>
        <v>-457590</v>
      </c>
      <c r="K192" s="1776" t="str">
        <f t="shared" si="32"/>
        <v xml:space="preserve"> </v>
      </c>
      <c r="L192" s="1776" t="str">
        <f t="shared" si="33"/>
        <v xml:space="preserve"> </v>
      </c>
      <c r="M192" s="1799" t="str">
        <f t="shared" si="34"/>
        <v xml:space="preserve"> </v>
      </c>
      <c r="N192" s="1799" t="str">
        <f t="shared" si="37"/>
        <v xml:space="preserve"> </v>
      </c>
    </row>
    <row r="193" spans="3:14">
      <c r="C193" s="1061" t="s">
        <v>689</v>
      </c>
      <c r="D193" s="1811" t="s">
        <v>339</v>
      </c>
      <c r="E193" s="1063" t="s">
        <v>1015</v>
      </c>
      <c r="F193" s="1064"/>
      <c r="G193" s="1063" t="s">
        <v>782</v>
      </c>
      <c r="H193" s="1065">
        <v>457590</v>
      </c>
      <c r="I193" s="1066" t="s">
        <v>293</v>
      </c>
      <c r="J193" s="1799">
        <f t="shared" ref="J193:J202" si="38">IF(I193="e",H193," ")</f>
        <v>457590</v>
      </c>
      <c r="K193" s="1776" t="str">
        <f t="shared" si="32"/>
        <v xml:space="preserve"> </v>
      </c>
      <c r="L193" s="1776" t="str">
        <f t="shared" si="33"/>
        <v xml:space="preserve"> </v>
      </c>
      <c r="M193" s="1799" t="str">
        <f t="shared" si="34"/>
        <v xml:space="preserve"> </v>
      </c>
      <c r="N193" s="1799" t="str">
        <f t="shared" ref="N193:N202" si="39">IF(I193="Labor",H193," ")</f>
        <v xml:space="preserve"> </v>
      </c>
    </row>
    <row r="194" spans="3:14">
      <c r="C194" s="1061" t="s">
        <v>689</v>
      </c>
      <c r="D194" s="1811" t="s">
        <v>339</v>
      </c>
      <c r="E194" s="1063" t="s">
        <v>783</v>
      </c>
      <c r="F194" s="1064"/>
      <c r="G194" s="1063" t="s">
        <v>784</v>
      </c>
      <c r="H194" s="1065">
        <v>-725326.8600000001</v>
      </c>
      <c r="I194" s="1066" t="s">
        <v>293</v>
      </c>
      <c r="J194" s="1799">
        <f t="shared" si="38"/>
        <v>-725326.8600000001</v>
      </c>
      <c r="K194" s="1776" t="str">
        <f t="shared" si="32"/>
        <v xml:space="preserve"> </v>
      </c>
      <c r="L194" s="1776" t="str">
        <f t="shared" si="33"/>
        <v xml:space="preserve"> </v>
      </c>
      <c r="M194" s="1799" t="str">
        <f t="shared" si="34"/>
        <v xml:space="preserve"> </v>
      </c>
      <c r="N194" s="1799" t="str">
        <f t="shared" si="39"/>
        <v xml:space="preserve"> </v>
      </c>
    </row>
    <row r="195" spans="3:14">
      <c r="C195" s="1061" t="s">
        <v>689</v>
      </c>
      <c r="D195" s="1811" t="s">
        <v>339</v>
      </c>
      <c r="E195" s="1063" t="s">
        <v>783</v>
      </c>
      <c r="F195" s="1064"/>
      <c r="G195" s="1063" t="s">
        <v>785</v>
      </c>
      <c r="H195" s="1065">
        <v>565362.51</v>
      </c>
      <c r="I195" s="1066" t="s">
        <v>293</v>
      </c>
      <c r="J195" s="1799">
        <f t="shared" si="38"/>
        <v>565362.51</v>
      </c>
      <c r="K195" s="1776" t="str">
        <f t="shared" si="32"/>
        <v xml:space="preserve"> </v>
      </c>
      <c r="L195" s="1776" t="str">
        <f t="shared" si="33"/>
        <v xml:space="preserve"> </v>
      </c>
      <c r="M195" s="1799" t="str">
        <f t="shared" si="34"/>
        <v xml:space="preserve"> </v>
      </c>
      <c r="N195" s="1799" t="str">
        <f t="shared" si="39"/>
        <v xml:space="preserve"> </v>
      </c>
    </row>
    <row r="196" spans="3:14">
      <c r="C196" s="1061" t="s">
        <v>689</v>
      </c>
      <c r="D196" s="1811" t="s">
        <v>339</v>
      </c>
      <c r="E196" s="1063" t="s">
        <v>786</v>
      </c>
      <c r="F196" s="1064"/>
      <c r="G196" s="1063" t="s">
        <v>787</v>
      </c>
      <c r="H196" s="1065">
        <v>11265.66</v>
      </c>
      <c r="I196" s="1066" t="s">
        <v>293</v>
      </c>
      <c r="J196" s="1799">
        <f t="shared" si="38"/>
        <v>11265.66</v>
      </c>
      <c r="K196" s="1776" t="str">
        <f t="shared" si="32"/>
        <v xml:space="preserve"> </v>
      </c>
      <c r="L196" s="1776" t="str">
        <f t="shared" si="33"/>
        <v xml:space="preserve"> </v>
      </c>
      <c r="M196" s="1799" t="str">
        <f t="shared" si="34"/>
        <v xml:space="preserve"> </v>
      </c>
      <c r="N196" s="1799" t="str">
        <f t="shared" si="39"/>
        <v xml:space="preserve"> </v>
      </c>
    </row>
    <row r="197" spans="3:14">
      <c r="C197" s="1061" t="s">
        <v>689</v>
      </c>
      <c r="D197" s="1811" t="s">
        <v>339</v>
      </c>
      <c r="E197" s="1063" t="s">
        <v>1452</v>
      </c>
      <c r="F197" s="1064"/>
      <c r="G197" s="1063" t="s">
        <v>1453</v>
      </c>
      <c r="H197" s="1065">
        <v>-0.2099999999627471</v>
      </c>
      <c r="I197" s="1066" t="s">
        <v>160</v>
      </c>
      <c r="J197" s="1799" t="str">
        <f t="shared" si="38"/>
        <v xml:space="preserve"> </v>
      </c>
      <c r="K197" s="1776" t="str">
        <f t="shared" si="32"/>
        <v xml:space="preserve"> </v>
      </c>
      <c r="L197" s="1776">
        <f t="shared" si="33"/>
        <v>-0.2099999999627471</v>
      </c>
      <c r="M197" s="1799" t="str">
        <f t="shared" si="34"/>
        <v xml:space="preserve"> </v>
      </c>
      <c r="N197" s="1799" t="str">
        <f t="shared" si="39"/>
        <v xml:space="preserve"> </v>
      </c>
    </row>
    <row r="198" spans="3:14">
      <c r="C198" s="1061" t="s">
        <v>689</v>
      </c>
      <c r="D198" s="1811"/>
      <c r="E198" s="1063" t="s">
        <v>788</v>
      </c>
      <c r="F198" s="1064"/>
      <c r="G198" s="1063" t="s">
        <v>789</v>
      </c>
      <c r="H198" s="1065">
        <v>363635.27999999997</v>
      </c>
      <c r="I198" s="1066" t="s">
        <v>160</v>
      </c>
      <c r="J198" s="1799" t="str">
        <f t="shared" si="38"/>
        <v xml:space="preserve"> </v>
      </c>
      <c r="K198" s="1776" t="str">
        <f t="shared" si="32"/>
        <v xml:space="preserve"> </v>
      </c>
      <c r="L198" s="1776">
        <f t="shared" si="33"/>
        <v>363635.27999999997</v>
      </c>
      <c r="M198" s="1799" t="str">
        <f t="shared" si="34"/>
        <v xml:space="preserve"> </v>
      </c>
      <c r="N198" s="1799" t="str">
        <f t="shared" si="39"/>
        <v xml:space="preserve"> </v>
      </c>
    </row>
    <row r="199" spans="3:14">
      <c r="C199" s="1061" t="s">
        <v>689</v>
      </c>
      <c r="D199" s="1811"/>
      <c r="E199" s="1063" t="s">
        <v>790</v>
      </c>
      <c r="F199" s="1064"/>
      <c r="G199" s="1063" t="s">
        <v>791</v>
      </c>
      <c r="H199" s="1065">
        <v>0</v>
      </c>
      <c r="I199" s="1066" t="s">
        <v>293</v>
      </c>
      <c r="J199" s="1799">
        <f t="shared" si="38"/>
        <v>0</v>
      </c>
      <c r="K199" s="1776" t="str">
        <f t="shared" si="32"/>
        <v xml:space="preserve"> </v>
      </c>
      <c r="L199" s="1776" t="str">
        <f t="shared" si="33"/>
        <v xml:space="preserve"> </v>
      </c>
      <c r="M199" s="1799" t="str">
        <f t="shared" si="34"/>
        <v xml:space="preserve"> </v>
      </c>
      <c r="N199" s="1799" t="str">
        <f t="shared" si="39"/>
        <v xml:space="preserve"> </v>
      </c>
    </row>
    <row r="200" spans="3:14">
      <c r="C200" s="1061" t="s">
        <v>689</v>
      </c>
      <c r="D200" s="1811"/>
      <c r="E200" s="1063" t="s">
        <v>792</v>
      </c>
      <c r="F200" s="1064"/>
      <c r="G200" s="1063" t="s">
        <v>793</v>
      </c>
      <c r="H200" s="1065">
        <v>0</v>
      </c>
      <c r="I200" s="1066" t="s">
        <v>293</v>
      </c>
      <c r="J200" s="1799">
        <f t="shared" si="38"/>
        <v>0</v>
      </c>
      <c r="K200" s="1776" t="str">
        <f t="shared" si="32"/>
        <v xml:space="preserve"> </v>
      </c>
      <c r="L200" s="1776" t="str">
        <f t="shared" si="33"/>
        <v xml:space="preserve"> </v>
      </c>
      <c r="M200" s="1799" t="str">
        <f t="shared" si="34"/>
        <v xml:space="preserve"> </v>
      </c>
      <c r="N200" s="1799" t="str">
        <f t="shared" si="39"/>
        <v xml:space="preserve"> </v>
      </c>
    </row>
    <row r="201" spans="3:14">
      <c r="C201" s="1061" t="s">
        <v>689</v>
      </c>
      <c r="D201" s="1811"/>
      <c r="E201" s="1063" t="s">
        <v>1416</v>
      </c>
      <c r="F201" s="1064"/>
      <c r="G201" s="1063" t="s">
        <v>1418</v>
      </c>
      <c r="H201" s="1065">
        <v>35742.770000000004</v>
      </c>
      <c r="I201" s="1066" t="s">
        <v>293</v>
      </c>
      <c r="J201" s="1799">
        <f t="shared" si="38"/>
        <v>35742.770000000004</v>
      </c>
      <c r="K201" s="1776" t="str">
        <f t="shared" si="32"/>
        <v xml:space="preserve"> </v>
      </c>
      <c r="L201" s="1776" t="str">
        <f t="shared" si="33"/>
        <v xml:space="preserve"> </v>
      </c>
      <c r="M201" s="1799" t="str">
        <f t="shared" si="34"/>
        <v xml:space="preserve"> </v>
      </c>
      <c r="N201" s="1799" t="str">
        <f t="shared" si="39"/>
        <v xml:space="preserve"> </v>
      </c>
    </row>
    <row r="202" spans="3:14">
      <c r="C202" s="1061" t="s">
        <v>689</v>
      </c>
      <c r="D202" s="1811"/>
      <c r="E202" s="1063" t="s">
        <v>1417</v>
      </c>
      <c r="F202" s="1064"/>
      <c r="G202" s="1063" t="s">
        <v>1419</v>
      </c>
      <c r="H202" s="1065">
        <v>151700.11000000002</v>
      </c>
      <c r="I202" s="1066" t="s">
        <v>293</v>
      </c>
      <c r="J202" s="1799">
        <f t="shared" si="38"/>
        <v>151700.11000000002</v>
      </c>
      <c r="K202" s="1776" t="str">
        <f t="shared" si="32"/>
        <v xml:space="preserve"> </v>
      </c>
      <c r="L202" s="1776" t="str">
        <f t="shared" si="33"/>
        <v xml:space="preserve"> </v>
      </c>
      <c r="M202" s="1799" t="str">
        <f t="shared" si="34"/>
        <v xml:space="preserve"> </v>
      </c>
      <c r="N202" s="1799" t="str">
        <f t="shared" si="39"/>
        <v xml:space="preserve"> </v>
      </c>
    </row>
    <row r="203" spans="3:14">
      <c r="C203" s="1061"/>
      <c r="D203" s="1811"/>
      <c r="E203" s="1063"/>
      <c r="F203" s="1064"/>
      <c r="G203" s="1063"/>
      <c r="H203" s="1065"/>
      <c r="I203" s="1066"/>
      <c r="J203" s="1799"/>
      <c r="K203" s="1776"/>
      <c r="L203" s="1776"/>
      <c r="M203" s="1799"/>
      <c r="N203" s="1799"/>
    </row>
    <row r="204" spans="3:14">
      <c r="C204" s="1083">
        <v>1901002</v>
      </c>
      <c r="D204" s="1811"/>
      <c r="E204" s="1063" t="s">
        <v>972</v>
      </c>
      <c r="F204" s="1064"/>
      <c r="G204" s="1063" t="s">
        <v>1568</v>
      </c>
      <c r="H204" s="1065">
        <v>4286493.459999999</v>
      </c>
      <c r="I204" s="1066" t="s">
        <v>293</v>
      </c>
      <c r="J204" s="1799">
        <f t="shared" si="31"/>
        <v>4286493.459999999</v>
      </c>
      <c r="K204" s="1776" t="str">
        <f t="shared" si="32"/>
        <v xml:space="preserve"> </v>
      </c>
      <c r="L204" s="1776" t="str">
        <f t="shared" si="33"/>
        <v xml:space="preserve"> </v>
      </c>
      <c r="M204" s="1799" t="str">
        <f t="shared" si="34"/>
        <v xml:space="preserve"> </v>
      </c>
      <c r="N204" s="1799" t="str">
        <f t="shared" si="35"/>
        <v xml:space="preserve"> </v>
      </c>
    </row>
    <row r="205" spans="3:14">
      <c r="C205" s="1083">
        <v>1901002</v>
      </c>
      <c r="D205" s="1811"/>
      <c r="E205" s="1063" t="s">
        <v>972</v>
      </c>
      <c r="F205" s="1061"/>
      <c r="G205" s="1063" t="s">
        <v>1569</v>
      </c>
      <c r="H205" s="1797">
        <v>41325601.019999996</v>
      </c>
      <c r="I205" s="1066" t="s">
        <v>293</v>
      </c>
      <c r="J205" s="1799">
        <f t="shared" ref="J205:J206" si="40">IF(I205="e",H205," ")</f>
        <v>41325601.019999996</v>
      </c>
      <c r="K205" s="1776" t="str">
        <f t="shared" si="32"/>
        <v xml:space="preserve"> </v>
      </c>
      <c r="L205" s="1776" t="str">
        <f t="shared" si="33"/>
        <v xml:space="preserve"> </v>
      </c>
      <c r="M205" s="1799" t="str">
        <f t="shared" si="34"/>
        <v xml:space="preserve"> </v>
      </c>
      <c r="N205" s="1799" t="str">
        <f t="shared" ref="N205:N206" si="41">IF(I205="Labor",H205," ")</f>
        <v xml:space="preserve"> </v>
      </c>
    </row>
    <row r="206" spans="3:14">
      <c r="C206" s="1083">
        <v>1901002</v>
      </c>
      <c r="D206" s="1811"/>
      <c r="E206" s="1063" t="s">
        <v>972</v>
      </c>
      <c r="F206" s="1061"/>
      <c r="G206" s="1063" t="s">
        <v>1570</v>
      </c>
      <c r="H206" s="964">
        <v>244737.63999999998</v>
      </c>
      <c r="I206" s="1066" t="s">
        <v>293</v>
      </c>
      <c r="J206" s="1799">
        <f t="shared" si="40"/>
        <v>244737.63999999998</v>
      </c>
      <c r="K206" s="1776" t="str">
        <f t="shared" ref="K206" si="42">IF($I206="T",$H206," ")</f>
        <v xml:space="preserve"> </v>
      </c>
      <c r="L206" s="1776" t="str">
        <f t="shared" ref="L206" si="43">IF($I206="PTD",$H206," ")</f>
        <v xml:space="preserve"> </v>
      </c>
      <c r="M206" s="1799" t="str">
        <f t="shared" ref="M206" si="44">IF($I206="T&amp;D",$H206," ")</f>
        <v xml:space="preserve"> </v>
      </c>
      <c r="N206" s="1799" t="str">
        <f t="shared" si="41"/>
        <v xml:space="preserve"> </v>
      </c>
    </row>
    <row r="207" spans="3:14">
      <c r="C207" s="1800"/>
      <c r="D207" s="1796"/>
      <c r="E207" s="1800"/>
      <c r="F207" s="1061"/>
      <c r="G207" s="1800"/>
      <c r="H207" s="1797"/>
      <c r="I207" s="1798"/>
      <c r="J207" s="1799"/>
      <c r="K207" s="1776"/>
      <c r="L207" s="1776"/>
      <c r="M207" s="1799"/>
      <c r="N207" s="1799"/>
    </row>
    <row r="208" spans="3:14">
      <c r="C208" s="1812"/>
      <c r="J208" s="1810"/>
    </row>
    <row r="209" spans="3:15">
      <c r="C209" s="1058">
        <v>190.1</v>
      </c>
      <c r="D209" s="791"/>
      <c r="G209" s="1077" t="s">
        <v>161</v>
      </c>
      <c r="H209" s="1093">
        <f>SUM(H128:H208)</f>
        <v>119453943.19999996</v>
      </c>
      <c r="I209" s="1776"/>
      <c r="J209" s="1093">
        <f>SUM(J128:J208)</f>
        <v>99991343.839999989</v>
      </c>
      <c r="K209" s="1093">
        <f>SUM(K128:K208)</f>
        <v>0</v>
      </c>
      <c r="L209" s="1093">
        <f>SUM(L128:L208)</f>
        <v>11646344.6</v>
      </c>
      <c r="M209" s="1093">
        <f>SUM(M128:M208)</f>
        <v>0</v>
      </c>
      <c r="N209" s="1093">
        <f>SUM(N128:N208)</f>
        <v>7816254.7599999998</v>
      </c>
      <c r="O209" s="1068"/>
    </row>
    <row r="210" spans="3:15">
      <c r="G210" s="1803" t="s">
        <v>130</v>
      </c>
      <c r="H210" s="1797">
        <v>119453943</v>
      </c>
      <c r="J210" s="1804"/>
    </row>
    <row r="211" spans="3:15">
      <c r="G211" s="1803"/>
      <c r="H211" s="1813"/>
    </row>
    <row r="212" spans="3:15" ht="33" customHeight="1">
      <c r="C212" s="2563"/>
      <c r="D212" s="2563"/>
      <c r="E212" s="2563"/>
      <c r="F212" s="2563"/>
      <c r="G212" s="2563"/>
      <c r="H212" s="2563"/>
      <c r="I212" s="2563"/>
      <c r="J212" s="2563"/>
      <c r="K212" s="2563"/>
      <c r="L212" s="2563"/>
      <c r="M212" s="2563"/>
      <c r="N212" s="2563"/>
    </row>
    <row r="225" spans="3:8">
      <c r="C225" s="779"/>
      <c r="D225" s="1802"/>
      <c r="E225" s="779"/>
      <c r="G225" s="779"/>
      <c r="H225" s="1814"/>
    </row>
    <row r="261" spans="3:6">
      <c r="C261" s="779"/>
      <c r="D261" s="779"/>
      <c r="E261" s="779"/>
      <c r="F261" s="1793"/>
    </row>
    <row r="262" spans="3:6">
      <c r="C262" s="779"/>
      <c r="D262" s="779"/>
      <c r="E262" s="779"/>
    </row>
    <row r="263" spans="3:6">
      <c r="C263" s="779"/>
      <c r="D263" s="779"/>
      <c r="E263" s="779"/>
    </row>
    <row r="264" spans="3:6">
      <c r="C264" s="779"/>
      <c r="D264" s="779"/>
      <c r="E264" s="779"/>
    </row>
    <row r="265" spans="3:6">
      <c r="C265" s="779"/>
      <c r="D265" s="779"/>
      <c r="E265" s="779"/>
    </row>
    <row r="266" spans="3:6">
      <c r="C266" s="779"/>
      <c r="D266" s="779"/>
      <c r="E266" s="779"/>
    </row>
    <row r="267" spans="3:6">
      <c r="C267" s="779"/>
      <c r="D267" s="779"/>
      <c r="E267" s="779"/>
    </row>
    <row r="268" spans="3:6">
      <c r="C268" s="779"/>
      <c r="D268" s="779"/>
      <c r="E268" s="779"/>
    </row>
    <row r="269" spans="3:6">
      <c r="C269" s="779"/>
      <c r="D269" s="779"/>
      <c r="E269" s="779"/>
    </row>
    <row r="270" spans="3:6">
      <c r="C270" s="779"/>
      <c r="D270" s="779"/>
      <c r="E270" s="779"/>
    </row>
    <row r="271" spans="3:6">
      <c r="C271" s="779"/>
      <c r="D271" s="779"/>
      <c r="E271" s="779"/>
    </row>
    <row r="272" spans="3:6">
      <c r="C272" s="779"/>
      <c r="D272" s="779"/>
      <c r="E272" s="779"/>
    </row>
    <row r="273" spans="1:24">
      <c r="C273" s="779"/>
      <c r="D273" s="779"/>
      <c r="E273" s="779"/>
    </row>
    <row r="274" spans="1:24">
      <c r="C274" s="779"/>
      <c r="D274" s="779"/>
      <c r="E274" s="779"/>
    </row>
    <row r="275" spans="1:24">
      <c r="C275" s="779"/>
      <c r="D275" s="779"/>
      <c r="E275" s="779"/>
    </row>
    <row r="276" spans="1:24">
      <c r="C276" s="779"/>
      <c r="D276" s="779"/>
      <c r="E276" s="779"/>
    </row>
    <row r="277" spans="1:24">
      <c r="C277" s="779"/>
      <c r="D277" s="779"/>
      <c r="E277" s="779"/>
    </row>
    <row r="278" spans="1:24">
      <c r="C278" s="779"/>
      <c r="D278" s="779"/>
      <c r="E278" s="779"/>
    </row>
    <row r="279" spans="1:24">
      <c r="C279" s="779"/>
      <c r="D279" s="779"/>
      <c r="E279" s="779"/>
    </row>
    <row r="280" spans="1:24">
      <c r="D280" s="791"/>
    </row>
    <row r="281" spans="1:24">
      <c r="D281" s="791"/>
    </row>
    <row r="282" spans="1:24">
      <c r="D282" s="791"/>
    </row>
    <row r="283" spans="1:24">
      <c r="D283" s="791"/>
    </row>
    <row r="284" spans="1:24">
      <c r="D284" s="791"/>
    </row>
    <row r="285" spans="1:24" s="1794" customFormat="1">
      <c r="A285" s="791"/>
      <c r="B285" s="791"/>
      <c r="C285" s="791"/>
      <c r="D285" s="791"/>
      <c r="E285" s="791"/>
      <c r="F285" s="791"/>
      <c r="G285" s="791"/>
      <c r="I285" s="791"/>
      <c r="J285" s="791"/>
      <c r="K285" s="791"/>
      <c r="L285" s="791"/>
      <c r="M285" s="791"/>
      <c r="N285" s="791"/>
      <c r="O285" s="791"/>
      <c r="P285" s="791"/>
      <c r="Q285" s="791"/>
      <c r="R285" s="791"/>
      <c r="S285" s="791"/>
      <c r="T285" s="791"/>
      <c r="U285" s="791"/>
      <c r="V285" s="791"/>
      <c r="W285" s="791"/>
      <c r="X285" s="791"/>
    </row>
    <row r="286" spans="1:24" s="1794" customFormat="1">
      <c r="A286" s="791"/>
      <c r="B286" s="791"/>
      <c r="C286" s="791"/>
      <c r="D286" s="791"/>
      <c r="E286" s="791"/>
      <c r="F286" s="791"/>
      <c r="G286" s="791"/>
      <c r="I286" s="791"/>
      <c r="J286" s="791"/>
      <c r="K286" s="791"/>
      <c r="L286" s="791"/>
      <c r="M286" s="791"/>
      <c r="N286" s="791"/>
      <c r="O286" s="791"/>
      <c r="P286" s="791"/>
      <c r="Q286" s="791"/>
      <c r="R286" s="791"/>
      <c r="S286" s="791"/>
      <c r="T286" s="791"/>
      <c r="U286" s="791"/>
      <c r="V286" s="791"/>
      <c r="W286" s="791"/>
      <c r="X286" s="791"/>
    </row>
    <row r="287" spans="1:24" s="1794" customFormat="1">
      <c r="A287" s="791"/>
      <c r="B287" s="791"/>
      <c r="C287" s="791"/>
      <c r="D287" s="791"/>
      <c r="E287" s="791"/>
      <c r="F287" s="791"/>
      <c r="G287" s="791"/>
      <c r="I287" s="791"/>
      <c r="J287" s="791"/>
      <c r="K287" s="791"/>
      <c r="L287" s="791"/>
      <c r="M287" s="791"/>
      <c r="N287" s="791"/>
      <c r="O287" s="791"/>
      <c r="P287" s="791"/>
      <c r="Q287" s="791"/>
      <c r="R287" s="791"/>
      <c r="S287" s="791"/>
      <c r="T287" s="791"/>
      <c r="U287" s="791"/>
      <c r="V287" s="791"/>
      <c r="W287" s="791"/>
      <c r="X287" s="791"/>
    </row>
    <row r="288" spans="1:24" s="1794" customFormat="1">
      <c r="A288" s="791"/>
      <c r="B288" s="791"/>
      <c r="C288" s="791"/>
      <c r="D288" s="791"/>
      <c r="E288" s="791"/>
      <c r="F288" s="791"/>
      <c r="G288" s="791"/>
      <c r="I288" s="791"/>
      <c r="J288" s="791"/>
      <c r="K288" s="791"/>
      <c r="L288" s="791"/>
      <c r="M288" s="791"/>
      <c r="N288" s="791"/>
      <c r="O288" s="791"/>
      <c r="P288" s="791"/>
      <c r="Q288" s="791"/>
      <c r="R288" s="791"/>
      <c r="S288" s="791"/>
      <c r="T288" s="791"/>
      <c r="U288" s="791"/>
      <c r="V288" s="791"/>
      <c r="W288" s="791"/>
      <c r="X288" s="791"/>
    </row>
    <row r="289" spans="1:24" s="1794" customFormat="1">
      <c r="A289" s="791"/>
      <c r="B289" s="791"/>
      <c r="C289" s="791"/>
      <c r="D289" s="791"/>
      <c r="E289" s="791"/>
      <c r="F289" s="791"/>
      <c r="G289" s="791"/>
      <c r="I289" s="791"/>
      <c r="J289" s="791"/>
      <c r="K289" s="791"/>
      <c r="L289" s="791"/>
      <c r="M289" s="791"/>
      <c r="N289" s="791"/>
      <c r="O289" s="791"/>
      <c r="P289" s="791"/>
      <c r="Q289" s="791"/>
      <c r="R289" s="791"/>
      <c r="S289" s="791"/>
      <c r="T289" s="791"/>
      <c r="U289" s="791"/>
      <c r="V289" s="791"/>
      <c r="W289" s="791"/>
      <c r="X289" s="791"/>
    </row>
    <row r="290" spans="1:24" s="1794" customFormat="1">
      <c r="A290" s="791"/>
      <c r="B290" s="791"/>
      <c r="C290" s="791"/>
      <c r="D290" s="791"/>
      <c r="E290" s="791"/>
      <c r="F290" s="791"/>
      <c r="G290" s="791"/>
      <c r="I290" s="791"/>
      <c r="J290" s="791"/>
      <c r="K290" s="791"/>
      <c r="L290" s="791"/>
      <c r="M290" s="791"/>
      <c r="N290" s="791"/>
      <c r="O290" s="791"/>
      <c r="P290" s="791"/>
      <c r="Q290" s="791"/>
      <c r="R290" s="791"/>
      <c r="S290" s="791"/>
      <c r="T290" s="791"/>
      <c r="U290" s="791"/>
      <c r="V290" s="791"/>
      <c r="W290" s="791"/>
      <c r="X290" s="791"/>
    </row>
    <row r="291" spans="1:24" s="1794" customFormat="1">
      <c r="A291" s="791"/>
      <c r="B291" s="791"/>
      <c r="C291" s="791"/>
      <c r="D291" s="791"/>
      <c r="E291" s="791"/>
      <c r="F291" s="791"/>
      <c r="G291" s="791"/>
      <c r="I291" s="791"/>
      <c r="J291" s="791"/>
      <c r="K291" s="791"/>
      <c r="L291" s="791"/>
      <c r="M291" s="791"/>
      <c r="N291" s="791"/>
      <c r="O291" s="791"/>
      <c r="P291" s="791"/>
      <c r="Q291" s="791"/>
      <c r="R291" s="791"/>
      <c r="S291" s="791"/>
      <c r="T291" s="791"/>
      <c r="U291" s="791"/>
      <c r="V291" s="791"/>
      <c r="W291" s="791"/>
      <c r="X291" s="791"/>
    </row>
    <row r="292" spans="1:24" s="1794" customFormat="1">
      <c r="A292" s="791"/>
      <c r="B292" s="791"/>
      <c r="C292" s="791"/>
      <c r="D292" s="791"/>
      <c r="E292" s="791"/>
      <c r="F292" s="791"/>
      <c r="G292" s="791"/>
      <c r="I292" s="791"/>
      <c r="J292" s="791"/>
      <c r="K292" s="791"/>
      <c r="L292" s="791"/>
      <c r="M292" s="791"/>
      <c r="N292" s="791"/>
      <c r="O292" s="791"/>
      <c r="P292" s="791"/>
      <c r="Q292" s="791"/>
      <c r="R292" s="791"/>
      <c r="S292" s="791"/>
      <c r="T292" s="791"/>
      <c r="U292" s="791"/>
      <c r="V292" s="791"/>
      <c r="W292" s="791"/>
      <c r="X292" s="791"/>
    </row>
    <row r="293" spans="1:24" s="1794" customFormat="1">
      <c r="A293" s="791"/>
      <c r="B293" s="791"/>
      <c r="C293" s="791"/>
      <c r="D293" s="791"/>
      <c r="E293" s="791"/>
      <c r="F293" s="791"/>
      <c r="G293" s="791"/>
      <c r="I293" s="791"/>
      <c r="J293" s="791"/>
      <c r="K293" s="791"/>
      <c r="L293" s="791"/>
      <c r="M293" s="791"/>
      <c r="N293" s="791"/>
      <c r="O293" s="791"/>
      <c r="P293" s="791"/>
      <c r="Q293" s="791"/>
      <c r="R293" s="791"/>
      <c r="S293" s="791"/>
      <c r="T293" s="791"/>
      <c r="U293" s="791"/>
      <c r="V293" s="791"/>
      <c r="W293" s="791"/>
      <c r="X293" s="791"/>
    </row>
    <row r="294" spans="1:24" s="1794" customFormat="1">
      <c r="A294" s="791"/>
      <c r="B294" s="791"/>
      <c r="C294" s="791"/>
      <c r="D294" s="791"/>
      <c r="E294" s="791"/>
      <c r="F294" s="791"/>
      <c r="G294" s="791"/>
      <c r="I294" s="791"/>
      <c r="J294" s="791"/>
      <c r="K294" s="791"/>
      <c r="L294" s="791"/>
      <c r="M294" s="791"/>
      <c r="N294" s="791"/>
      <c r="O294" s="791"/>
      <c r="P294" s="791"/>
      <c r="Q294" s="791"/>
      <c r="R294" s="791"/>
      <c r="S294" s="791"/>
      <c r="T294" s="791"/>
      <c r="U294" s="791"/>
      <c r="V294" s="791"/>
      <c r="W294" s="791"/>
      <c r="X294" s="791"/>
    </row>
    <row r="295" spans="1:24" s="1794" customFormat="1">
      <c r="A295" s="791"/>
      <c r="B295" s="791"/>
      <c r="C295" s="791"/>
      <c r="D295" s="791"/>
      <c r="E295" s="791"/>
      <c r="F295" s="791"/>
      <c r="G295" s="791"/>
      <c r="I295" s="791"/>
      <c r="J295" s="791"/>
      <c r="K295" s="791"/>
      <c r="L295" s="791"/>
      <c r="M295" s="791"/>
      <c r="N295" s="791"/>
      <c r="O295" s="791"/>
      <c r="P295" s="791"/>
      <c r="Q295" s="791"/>
      <c r="R295" s="791"/>
      <c r="S295" s="791"/>
      <c r="T295" s="791"/>
      <c r="U295" s="791"/>
      <c r="V295" s="791"/>
      <c r="W295" s="791"/>
      <c r="X295" s="791"/>
    </row>
    <row r="296" spans="1:24" s="1794" customFormat="1">
      <c r="A296" s="791"/>
      <c r="B296" s="791"/>
      <c r="C296" s="791"/>
      <c r="D296" s="791"/>
      <c r="E296" s="791"/>
      <c r="F296" s="791"/>
      <c r="G296" s="791"/>
      <c r="I296" s="791"/>
      <c r="J296" s="791"/>
      <c r="K296" s="791"/>
      <c r="L296" s="791"/>
      <c r="M296" s="791"/>
      <c r="N296" s="791"/>
      <c r="O296" s="791"/>
      <c r="P296" s="791"/>
      <c r="Q296" s="791"/>
      <c r="R296" s="791"/>
      <c r="S296" s="791"/>
      <c r="T296" s="791"/>
      <c r="U296" s="791"/>
      <c r="V296" s="791"/>
      <c r="W296" s="791"/>
      <c r="X296" s="791"/>
    </row>
    <row r="297" spans="1:24" s="1794" customFormat="1">
      <c r="A297" s="791"/>
      <c r="B297" s="791"/>
      <c r="C297" s="779"/>
      <c r="D297" s="1802"/>
      <c r="E297" s="779"/>
      <c r="F297" s="779"/>
      <c r="G297" s="779"/>
      <c r="I297" s="791"/>
      <c r="J297" s="791"/>
      <c r="K297" s="791"/>
      <c r="L297" s="791"/>
      <c r="M297" s="791"/>
      <c r="N297" s="791"/>
      <c r="O297" s="791"/>
      <c r="P297" s="791"/>
      <c r="Q297" s="791"/>
      <c r="R297" s="791"/>
      <c r="S297" s="791"/>
      <c r="T297" s="791"/>
      <c r="U297" s="791"/>
      <c r="V297" s="791"/>
      <c r="W297" s="791"/>
      <c r="X297" s="791"/>
    </row>
    <row r="298" spans="1:24" s="1794" customFormat="1">
      <c r="A298" s="791"/>
      <c r="B298" s="791"/>
      <c r="C298" s="779"/>
      <c r="D298" s="1802"/>
      <c r="E298" s="779"/>
      <c r="F298" s="779"/>
      <c r="G298" s="779"/>
      <c r="I298" s="791"/>
      <c r="J298" s="791"/>
      <c r="K298" s="791"/>
      <c r="L298" s="791"/>
      <c r="M298" s="791"/>
      <c r="N298" s="791"/>
      <c r="O298" s="791"/>
      <c r="P298" s="791"/>
      <c r="Q298" s="791"/>
      <c r="R298" s="791"/>
      <c r="S298" s="791"/>
      <c r="T298" s="791"/>
      <c r="U298" s="791"/>
      <c r="V298" s="791"/>
      <c r="W298" s="791"/>
      <c r="X298" s="791"/>
    </row>
    <row r="299" spans="1:24" s="1794" customFormat="1">
      <c r="A299" s="791"/>
      <c r="B299" s="791"/>
      <c r="C299" s="779"/>
      <c r="D299" s="1802"/>
      <c r="E299" s="779"/>
      <c r="F299" s="779"/>
      <c r="G299" s="779"/>
      <c r="I299" s="791"/>
      <c r="J299" s="791"/>
      <c r="K299" s="791"/>
      <c r="L299" s="791"/>
      <c r="M299" s="791"/>
      <c r="N299" s="791"/>
      <c r="O299" s="791"/>
      <c r="P299" s="791"/>
      <c r="Q299" s="791"/>
      <c r="R299" s="791"/>
      <c r="S299" s="791"/>
      <c r="T299" s="791"/>
      <c r="U299" s="791"/>
      <c r="V299" s="791"/>
      <c r="W299" s="791"/>
      <c r="X299" s="791"/>
    </row>
    <row r="300" spans="1:24" s="1794" customFormat="1">
      <c r="A300" s="791"/>
      <c r="B300" s="791"/>
      <c r="C300" s="779"/>
      <c r="D300" s="1802"/>
      <c r="E300" s="779"/>
      <c r="F300" s="779"/>
      <c r="G300" s="779"/>
      <c r="I300" s="791"/>
      <c r="J300" s="791"/>
      <c r="K300" s="791"/>
      <c r="L300" s="791"/>
      <c r="M300" s="791"/>
      <c r="N300" s="791"/>
      <c r="O300" s="791"/>
      <c r="P300" s="791"/>
      <c r="Q300" s="791"/>
      <c r="R300" s="791"/>
      <c r="S300" s="791"/>
      <c r="T300" s="791"/>
      <c r="U300" s="791"/>
      <c r="V300" s="791"/>
      <c r="W300" s="791"/>
      <c r="X300" s="791"/>
    </row>
    <row r="301" spans="1:24" s="1794" customFormat="1">
      <c r="A301" s="791"/>
      <c r="B301" s="791"/>
      <c r="C301" s="779"/>
      <c r="D301" s="1802"/>
      <c r="E301" s="779"/>
      <c r="F301" s="779"/>
      <c r="G301" s="779"/>
      <c r="I301" s="791"/>
      <c r="J301" s="791"/>
      <c r="K301" s="791"/>
      <c r="L301" s="791"/>
      <c r="M301" s="791"/>
      <c r="N301" s="791"/>
      <c r="O301" s="791"/>
      <c r="P301" s="791"/>
      <c r="Q301" s="791"/>
      <c r="R301" s="791"/>
      <c r="S301" s="791"/>
      <c r="T301" s="791"/>
      <c r="U301" s="791"/>
      <c r="V301" s="791"/>
      <c r="W301" s="791"/>
      <c r="X301" s="791"/>
    </row>
    <row r="302" spans="1:24" s="1794" customFormat="1">
      <c r="A302" s="791"/>
      <c r="B302" s="791"/>
      <c r="C302" s="779"/>
      <c r="D302" s="1802"/>
      <c r="E302" s="779"/>
      <c r="F302" s="779"/>
      <c r="G302" s="779"/>
      <c r="I302" s="791"/>
      <c r="J302" s="791"/>
      <c r="K302" s="791"/>
      <c r="L302" s="791"/>
      <c r="M302" s="791"/>
      <c r="N302" s="791"/>
      <c r="O302" s="791"/>
      <c r="P302" s="791"/>
      <c r="Q302" s="791"/>
      <c r="R302" s="791"/>
      <c r="S302" s="791"/>
      <c r="T302" s="791"/>
      <c r="U302" s="791"/>
      <c r="V302" s="791"/>
      <c r="W302" s="791"/>
      <c r="X302" s="791"/>
    </row>
  </sheetData>
  <mergeCells count="6">
    <mergeCell ref="C212:N212"/>
    <mergeCell ref="C3:N3"/>
    <mergeCell ref="C4:N4"/>
    <mergeCell ref="C5:N5"/>
    <mergeCell ref="C6:N6"/>
    <mergeCell ref="J8:N8"/>
  </mergeCells>
  <conditionalFormatting sqref="O209 O124 O44:O58">
    <cfRule type="cellIs" dxfId="4" priority="2" stopIfTrue="1" operator="equal">
      <formula>FALSE</formula>
    </cfRule>
  </conditionalFormatting>
  <conditionalFormatting sqref="O59">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3"/>
  <sheetViews>
    <sheetView topLeftCell="A133" zoomScale="70" zoomScaleNormal="70" zoomScaleSheetLayoutView="75" zoomScalePageLayoutView="75" workbookViewId="0">
      <selection activeCell="J108" sqref="J108"/>
    </sheetView>
  </sheetViews>
  <sheetFormatPr defaultColWidth="8.85546875" defaultRowHeight="12.75"/>
  <cols>
    <col min="1" max="2" width="1.7109375" style="791" customWidth="1"/>
    <col min="3" max="3" width="10.7109375" style="791" customWidth="1"/>
    <col min="4" max="4" width="1.7109375" style="1793" customWidth="1"/>
    <col min="5" max="5" width="11.140625" style="791" customWidth="1"/>
    <col min="6" max="6" width="1.7109375" style="791" customWidth="1"/>
    <col min="7" max="7" width="53.28515625" style="791" customWidth="1"/>
    <col min="8" max="8" width="18.7109375" style="1794" customWidth="1"/>
    <col min="9" max="9" width="11.7109375" style="791" customWidth="1"/>
    <col min="10" max="10" width="16.85546875" style="791" customWidth="1"/>
    <col min="11" max="11" width="16.28515625" style="791" customWidth="1"/>
    <col min="12" max="12" width="18.85546875" style="791" customWidth="1"/>
    <col min="13" max="13" width="13.28515625" style="791" customWidth="1"/>
    <col min="14" max="14" width="17.140625" style="791" customWidth="1"/>
    <col min="15" max="16" width="8.85546875" style="791"/>
    <col min="17" max="17" width="19.85546875" style="1793" customWidth="1"/>
    <col min="18" max="16384" width="8.85546875" style="791"/>
  </cols>
  <sheetData>
    <row r="1" spans="1:15" ht="15">
      <c r="A1" s="1050"/>
    </row>
    <row r="2" spans="1:15" ht="20.25">
      <c r="A2" s="1053"/>
      <c r="B2" s="1054"/>
      <c r="D2" s="791"/>
      <c r="I2" s="1761"/>
      <c r="J2" s="1761"/>
      <c r="K2" s="1761"/>
      <c r="L2" s="1761"/>
      <c r="M2" s="1761"/>
      <c r="N2" s="1055" t="s">
        <v>256</v>
      </c>
      <c r="O2" s="1108"/>
    </row>
    <row r="3" spans="1:15" ht="20.25">
      <c r="A3" s="1055"/>
      <c r="B3" s="1056"/>
      <c r="C3" s="2455" t="str">
        <f>+'SWEPCO TCOS'!F4</f>
        <v xml:space="preserve">AEP West SPP Member Operating Companies </v>
      </c>
      <c r="D3" s="2455"/>
      <c r="E3" s="2455"/>
      <c r="F3" s="2455"/>
      <c r="G3" s="2455"/>
      <c r="H3" s="2455"/>
      <c r="I3" s="2455"/>
      <c r="J3" s="2455"/>
      <c r="K3" s="2455"/>
      <c r="L3" s="2455"/>
      <c r="M3" s="2455"/>
      <c r="N3" s="2455"/>
      <c r="O3" s="1108"/>
    </row>
    <row r="4" spans="1:15" ht="18">
      <c r="C4" s="2561" t="str">
        <f>+'SWEPCO TCOS'!F8</f>
        <v>SOUTHWESTERN ELECTRIC POWER COMPANY</v>
      </c>
      <c r="D4" s="2561"/>
      <c r="E4" s="2561"/>
      <c r="F4" s="2561"/>
      <c r="G4" s="2561"/>
      <c r="H4" s="2561"/>
      <c r="I4" s="2561"/>
      <c r="J4" s="2561"/>
      <c r="K4" s="2561"/>
      <c r="L4" s="2561"/>
      <c r="M4" s="2561"/>
      <c r="N4" s="2561"/>
      <c r="O4" s="1108"/>
    </row>
    <row r="5" spans="1:15" ht="18">
      <c r="C5" s="2561" t="s">
        <v>887</v>
      </c>
      <c r="D5" s="2561"/>
      <c r="E5" s="2561"/>
      <c r="F5" s="2561"/>
      <c r="G5" s="2561"/>
      <c r="H5" s="2561"/>
      <c r="I5" s="2561"/>
      <c r="J5" s="2561"/>
      <c r="K5" s="2561"/>
      <c r="L5" s="2561"/>
      <c r="M5" s="2561"/>
      <c r="N5" s="2561"/>
    </row>
    <row r="6" spans="1:15" ht="23.25" customHeight="1">
      <c r="C6" s="2460" t="str">
        <f>"AS OF DECEMBER 31, "&amp;'SWEPCO TCOS'!N2-1&amp;""</f>
        <v>AS OF DECEMBER 31, 2017</v>
      </c>
      <c r="D6" s="2460"/>
      <c r="E6" s="2460"/>
      <c r="F6" s="2460"/>
      <c r="G6" s="2460"/>
      <c r="H6" s="2460"/>
      <c r="I6" s="2460"/>
      <c r="J6" s="2460"/>
      <c r="K6" s="2460"/>
      <c r="L6" s="2460"/>
      <c r="M6" s="2460"/>
      <c r="N6" s="2460"/>
    </row>
    <row r="7" spans="1:15">
      <c r="D7" s="791"/>
    </row>
    <row r="8" spans="1:15">
      <c r="D8" s="791"/>
      <c r="J8" s="2457" t="s">
        <v>154</v>
      </c>
      <c r="K8" s="2457"/>
      <c r="L8" s="2457"/>
      <c r="M8" s="2457"/>
      <c r="N8" s="2457"/>
    </row>
    <row r="9" spans="1:15" ht="25.5">
      <c r="C9" s="1057" t="s">
        <v>392</v>
      </c>
      <c r="D9" s="1058"/>
      <c r="E9" s="1057" t="s">
        <v>155</v>
      </c>
      <c r="G9" s="1057" t="s">
        <v>308</v>
      </c>
      <c r="H9" s="1059" t="s">
        <v>318</v>
      </c>
      <c r="I9" s="1060" t="s">
        <v>85</v>
      </c>
      <c r="J9" s="1060" t="s">
        <v>156</v>
      </c>
      <c r="K9" s="1060" t="s">
        <v>157</v>
      </c>
      <c r="L9" s="1057" t="s">
        <v>158</v>
      </c>
      <c r="M9" s="1057" t="s">
        <v>159</v>
      </c>
      <c r="N9" s="1057" t="s">
        <v>302</v>
      </c>
    </row>
    <row r="10" spans="1:15">
      <c r="C10" s="1061" t="s">
        <v>619</v>
      </c>
      <c r="D10" s="1801" t="s">
        <v>339</v>
      </c>
      <c r="E10" s="1063" t="s">
        <v>941</v>
      </c>
      <c r="F10" s="1064"/>
      <c r="G10" s="1063" t="s">
        <v>1017</v>
      </c>
      <c r="H10" s="1065">
        <v>-1102871760.6900001</v>
      </c>
      <c r="I10" s="1066" t="s">
        <v>160</v>
      </c>
      <c r="J10" s="1815" t="str">
        <f t="shared" ref="J10:J47" si="0">IF(I10="e",H10," ")</f>
        <v xml:space="preserve"> </v>
      </c>
      <c r="K10" s="1776" t="str">
        <f t="shared" ref="K10:K43" si="1">IF($I10="T",$H10," ")</f>
        <v xml:space="preserve"> </v>
      </c>
      <c r="L10" s="1776">
        <f t="shared" ref="L10:L43" si="2">IF($I10="PTD",$H10," ")</f>
        <v>-1102871760.6900001</v>
      </c>
      <c r="M10" s="1815" t="str">
        <f t="shared" ref="M10:M43" si="3">IF($I10="T&amp;D",$H10," ")</f>
        <v xml:space="preserve"> </v>
      </c>
      <c r="N10" s="1815" t="str">
        <f t="shared" ref="N10:N47" si="4">IF(I10="Labor",H10," ")</f>
        <v xml:space="preserve"> </v>
      </c>
    </row>
    <row r="11" spans="1:15">
      <c r="C11" s="1061" t="s">
        <v>619</v>
      </c>
      <c r="D11" s="1801" t="s">
        <v>339</v>
      </c>
      <c r="E11" s="1063" t="s">
        <v>941</v>
      </c>
      <c r="F11" s="1064"/>
      <c r="G11" s="1063" t="s">
        <v>1016</v>
      </c>
      <c r="H11" s="1065">
        <v>0</v>
      </c>
      <c r="I11" s="1066" t="s">
        <v>293</v>
      </c>
      <c r="J11" s="1815">
        <f t="shared" ref="J11:J42" si="5">IF(I11="e",H11," ")</f>
        <v>0</v>
      </c>
      <c r="K11" s="1776" t="str">
        <f t="shared" si="1"/>
        <v xml:space="preserve"> </v>
      </c>
      <c r="L11" s="1776" t="str">
        <f t="shared" si="2"/>
        <v xml:space="preserve"> </v>
      </c>
      <c r="M11" s="1815" t="str">
        <f t="shared" si="3"/>
        <v xml:space="preserve"> </v>
      </c>
      <c r="N11" s="1815" t="str">
        <f t="shared" ref="N11:N42" si="6">IF(I11="Labor",H11," ")</f>
        <v xml:space="preserve"> </v>
      </c>
    </row>
    <row r="12" spans="1:15">
      <c r="C12" s="1061" t="s">
        <v>619</v>
      </c>
      <c r="D12" s="1801" t="s">
        <v>339</v>
      </c>
      <c r="E12" s="1063" t="s">
        <v>942</v>
      </c>
      <c r="F12" s="1064"/>
      <c r="G12" s="1063" t="s">
        <v>620</v>
      </c>
      <c r="H12" s="1065">
        <v>0</v>
      </c>
      <c r="I12" s="1066" t="s">
        <v>160</v>
      </c>
      <c r="J12" s="1815" t="str">
        <f t="shared" si="5"/>
        <v xml:space="preserve"> </v>
      </c>
      <c r="K12" s="1776" t="str">
        <f t="shared" si="1"/>
        <v xml:space="preserve"> </v>
      </c>
      <c r="L12" s="1776">
        <f t="shared" si="2"/>
        <v>0</v>
      </c>
      <c r="M12" s="1815" t="str">
        <f t="shared" si="3"/>
        <v xml:space="preserve"> </v>
      </c>
      <c r="N12" s="1815" t="str">
        <f t="shared" si="6"/>
        <v xml:space="preserve"> </v>
      </c>
    </row>
    <row r="13" spans="1:15">
      <c r="C13" s="1061" t="s">
        <v>619</v>
      </c>
      <c r="D13" s="1801" t="s">
        <v>339</v>
      </c>
      <c r="E13" s="1063" t="s">
        <v>943</v>
      </c>
      <c r="F13" s="1064"/>
      <c r="G13" s="1063" t="s">
        <v>621</v>
      </c>
      <c r="H13" s="1065">
        <v>-1271727.45</v>
      </c>
      <c r="I13" s="1066" t="s">
        <v>160</v>
      </c>
      <c r="J13" s="1815" t="str">
        <f t="shared" si="5"/>
        <v xml:space="preserve"> </v>
      </c>
      <c r="K13" s="1776" t="str">
        <f t="shared" si="1"/>
        <v xml:space="preserve"> </v>
      </c>
      <c r="L13" s="1776">
        <f t="shared" si="2"/>
        <v>-1271727.45</v>
      </c>
      <c r="M13" s="1815" t="str">
        <f t="shared" si="3"/>
        <v xml:space="preserve"> </v>
      </c>
      <c r="N13" s="1815" t="str">
        <f t="shared" si="6"/>
        <v xml:space="preserve"> </v>
      </c>
    </row>
    <row r="14" spans="1:15">
      <c r="C14" s="1061" t="s">
        <v>619</v>
      </c>
      <c r="D14" s="1801" t="s">
        <v>339</v>
      </c>
      <c r="E14" s="1063" t="s">
        <v>944</v>
      </c>
      <c r="F14" s="1064"/>
      <c r="G14" s="1063" t="s">
        <v>622</v>
      </c>
      <c r="H14" s="1065">
        <v>81564.349999999991</v>
      </c>
      <c r="I14" s="1066" t="s">
        <v>160</v>
      </c>
      <c r="J14" s="1815" t="str">
        <f t="shared" si="5"/>
        <v xml:space="preserve"> </v>
      </c>
      <c r="K14" s="1776" t="str">
        <f t="shared" si="1"/>
        <v xml:space="preserve"> </v>
      </c>
      <c r="L14" s="1776">
        <f t="shared" si="2"/>
        <v>81564.349999999991</v>
      </c>
      <c r="M14" s="1815" t="str">
        <f t="shared" si="3"/>
        <v xml:space="preserve"> </v>
      </c>
      <c r="N14" s="1815" t="str">
        <f t="shared" si="6"/>
        <v xml:space="preserve"> </v>
      </c>
    </row>
    <row r="15" spans="1:15">
      <c r="C15" s="1061" t="s">
        <v>619</v>
      </c>
      <c r="D15" s="1801"/>
      <c r="E15" s="1063" t="s">
        <v>945</v>
      </c>
      <c r="F15" s="1064"/>
      <c r="G15" s="1063" t="s">
        <v>623</v>
      </c>
      <c r="H15" s="1065">
        <v>-14133272.299999999</v>
      </c>
      <c r="I15" s="1066" t="s">
        <v>160</v>
      </c>
      <c r="J15" s="1815" t="str">
        <f t="shared" si="5"/>
        <v xml:space="preserve"> </v>
      </c>
      <c r="K15" s="1776" t="str">
        <f t="shared" si="1"/>
        <v xml:space="preserve"> </v>
      </c>
      <c r="L15" s="1776">
        <f t="shared" si="2"/>
        <v>-14133272.299999999</v>
      </c>
      <c r="M15" s="1815" t="str">
        <f t="shared" si="3"/>
        <v xml:space="preserve"> </v>
      </c>
      <c r="N15" s="1815" t="str">
        <f t="shared" si="6"/>
        <v xml:space="preserve"> </v>
      </c>
    </row>
    <row r="16" spans="1:15">
      <c r="C16" s="1061" t="s">
        <v>619</v>
      </c>
      <c r="D16" s="1801"/>
      <c r="E16" s="1063" t="s">
        <v>946</v>
      </c>
      <c r="F16" s="1064"/>
      <c r="G16" s="1063" t="s">
        <v>624</v>
      </c>
      <c r="H16" s="1065">
        <v>-4625273.8000000026</v>
      </c>
      <c r="I16" s="1066" t="s">
        <v>160</v>
      </c>
      <c r="J16" s="1815" t="str">
        <f t="shared" si="5"/>
        <v xml:space="preserve"> </v>
      </c>
      <c r="K16" s="1776" t="str">
        <f t="shared" si="1"/>
        <v xml:space="preserve"> </v>
      </c>
      <c r="L16" s="1776">
        <f t="shared" si="2"/>
        <v>-4625273.8000000026</v>
      </c>
      <c r="M16" s="1815" t="str">
        <f t="shared" si="3"/>
        <v xml:space="preserve"> </v>
      </c>
      <c r="N16" s="1815" t="str">
        <f t="shared" si="6"/>
        <v xml:space="preserve"> </v>
      </c>
    </row>
    <row r="17" spans="3:14">
      <c r="C17" s="1061" t="s">
        <v>619</v>
      </c>
      <c r="D17" s="1801"/>
      <c r="E17" s="1063" t="s">
        <v>947</v>
      </c>
      <c r="F17" s="1064"/>
      <c r="G17" s="1063" t="s">
        <v>625</v>
      </c>
      <c r="H17" s="1065">
        <v>2799916.9974999996</v>
      </c>
      <c r="I17" s="1066" t="s">
        <v>160</v>
      </c>
      <c r="J17" s="1815" t="str">
        <f t="shared" si="5"/>
        <v xml:space="preserve"> </v>
      </c>
      <c r="K17" s="1776" t="str">
        <f t="shared" si="1"/>
        <v xml:space="preserve"> </v>
      </c>
      <c r="L17" s="1776">
        <f t="shared" si="2"/>
        <v>2799916.9974999996</v>
      </c>
      <c r="M17" s="1815" t="str">
        <f t="shared" si="3"/>
        <v xml:space="preserve"> </v>
      </c>
      <c r="N17" s="1815" t="str">
        <f t="shared" si="6"/>
        <v xml:space="preserve"> </v>
      </c>
    </row>
    <row r="18" spans="3:14">
      <c r="C18" s="1061" t="s">
        <v>619</v>
      </c>
      <c r="D18" s="1801"/>
      <c r="E18" s="1063" t="s">
        <v>948</v>
      </c>
      <c r="F18" s="1064"/>
      <c r="G18" s="1063" t="s">
        <v>626</v>
      </c>
      <c r="H18" s="1065">
        <v>-22816856.627500005</v>
      </c>
      <c r="I18" s="1066" t="s">
        <v>293</v>
      </c>
      <c r="J18" s="1815">
        <f t="shared" si="5"/>
        <v>-22816856.627500005</v>
      </c>
      <c r="K18" s="1776" t="str">
        <f t="shared" si="1"/>
        <v xml:space="preserve"> </v>
      </c>
      <c r="L18" s="1776" t="str">
        <f t="shared" si="2"/>
        <v xml:space="preserve"> </v>
      </c>
      <c r="M18" s="1815" t="str">
        <f t="shared" si="3"/>
        <v xml:space="preserve"> </v>
      </c>
      <c r="N18" s="1815" t="str">
        <f t="shared" si="6"/>
        <v xml:space="preserve"> </v>
      </c>
    </row>
    <row r="19" spans="3:14">
      <c r="C19" s="1061" t="s">
        <v>619</v>
      </c>
      <c r="D19" s="1801"/>
      <c r="E19" s="1063" t="s">
        <v>949</v>
      </c>
      <c r="F19" s="1064"/>
      <c r="G19" s="1063" t="s">
        <v>627</v>
      </c>
      <c r="H19" s="1065">
        <v>-38533283.089000002</v>
      </c>
      <c r="I19" s="1066" t="s">
        <v>160</v>
      </c>
      <c r="J19" s="1815" t="str">
        <f t="shared" si="5"/>
        <v xml:space="preserve"> </v>
      </c>
      <c r="K19" s="1776" t="str">
        <f t="shared" si="1"/>
        <v xml:space="preserve"> </v>
      </c>
      <c r="L19" s="1776">
        <f t="shared" si="2"/>
        <v>-38533283.089000002</v>
      </c>
      <c r="M19" s="1815" t="str">
        <f t="shared" si="3"/>
        <v xml:space="preserve"> </v>
      </c>
      <c r="N19" s="1815" t="str">
        <f t="shared" si="6"/>
        <v xml:space="preserve"> </v>
      </c>
    </row>
    <row r="20" spans="3:14">
      <c r="C20" s="1061" t="s">
        <v>619</v>
      </c>
      <c r="D20" s="1801" t="s">
        <v>339</v>
      </c>
      <c r="E20" s="1063" t="s">
        <v>950</v>
      </c>
      <c r="F20" s="1064"/>
      <c r="G20" s="1063" t="s">
        <v>628</v>
      </c>
      <c r="H20" s="1065">
        <v>1764744.723</v>
      </c>
      <c r="I20" s="1066" t="s">
        <v>160</v>
      </c>
      <c r="J20" s="1815" t="str">
        <f t="shared" si="5"/>
        <v xml:space="preserve"> </v>
      </c>
      <c r="K20" s="1776" t="str">
        <f t="shared" si="1"/>
        <v xml:space="preserve"> </v>
      </c>
      <c r="L20" s="1776">
        <f t="shared" si="2"/>
        <v>1764744.723</v>
      </c>
      <c r="M20" s="1815" t="str">
        <f t="shared" si="3"/>
        <v xml:space="preserve"> </v>
      </c>
      <c r="N20" s="1815" t="str">
        <f t="shared" si="6"/>
        <v xml:space="preserve"> </v>
      </c>
    </row>
    <row r="21" spans="3:14">
      <c r="C21" s="1061" t="s">
        <v>619</v>
      </c>
      <c r="D21" s="1801" t="s">
        <v>339</v>
      </c>
      <c r="E21" s="1063" t="s">
        <v>951</v>
      </c>
      <c r="F21" s="1064"/>
      <c r="G21" s="1063" t="s">
        <v>629</v>
      </c>
      <c r="H21" s="1065">
        <v>-2688135.45</v>
      </c>
      <c r="I21" s="1066" t="s">
        <v>293</v>
      </c>
      <c r="J21" s="1815">
        <f t="shared" si="5"/>
        <v>-2688135.45</v>
      </c>
      <c r="K21" s="1776" t="str">
        <f t="shared" si="1"/>
        <v xml:space="preserve"> </v>
      </c>
      <c r="L21" s="1776" t="str">
        <f t="shared" si="2"/>
        <v xml:space="preserve"> </v>
      </c>
      <c r="M21" s="1815" t="str">
        <f t="shared" si="3"/>
        <v xml:space="preserve"> </v>
      </c>
      <c r="N21" s="1815" t="str">
        <f t="shared" si="6"/>
        <v xml:space="preserve"> </v>
      </c>
    </row>
    <row r="22" spans="3:14">
      <c r="C22" s="1061" t="s">
        <v>619</v>
      </c>
      <c r="D22" s="1801" t="s">
        <v>339</v>
      </c>
      <c r="E22" s="1063" t="s">
        <v>952</v>
      </c>
      <c r="F22" s="1064"/>
      <c r="G22" s="1063" t="s">
        <v>630</v>
      </c>
      <c r="H22" s="1065">
        <v>-79320990.990500003</v>
      </c>
      <c r="I22" s="1066" t="s">
        <v>160</v>
      </c>
      <c r="J22" s="1815" t="str">
        <f t="shared" si="5"/>
        <v xml:space="preserve"> </v>
      </c>
      <c r="K22" s="1776" t="str">
        <f t="shared" si="1"/>
        <v xml:space="preserve"> </v>
      </c>
      <c r="L22" s="1776">
        <f t="shared" si="2"/>
        <v>-79320990.990500003</v>
      </c>
      <c r="M22" s="1815" t="str">
        <f t="shared" si="3"/>
        <v xml:space="preserve"> </v>
      </c>
      <c r="N22" s="1815" t="str">
        <f t="shared" si="6"/>
        <v xml:space="preserve"> </v>
      </c>
    </row>
    <row r="23" spans="3:14">
      <c r="C23" s="1061" t="s">
        <v>619</v>
      </c>
      <c r="D23" s="1801" t="s">
        <v>339</v>
      </c>
      <c r="E23" s="1063" t="s">
        <v>953</v>
      </c>
      <c r="F23" s="1064"/>
      <c r="G23" s="1063" t="s">
        <v>631</v>
      </c>
      <c r="H23" s="1065">
        <v>125142725.443</v>
      </c>
      <c r="I23" s="1066" t="s">
        <v>160</v>
      </c>
      <c r="J23" s="1815" t="str">
        <f t="shared" si="5"/>
        <v xml:space="preserve"> </v>
      </c>
      <c r="K23" s="1776" t="str">
        <f t="shared" si="1"/>
        <v xml:space="preserve"> </v>
      </c>
      <c r="L23" s="1776">
        <f t="shared" si="2"/>
        <v>125142725.443</v>
      </c>
      <c r="M23" s="1815" t="str">
        <f t="shared" si="3"/>
        <v xml:space="preserve"> </v>
      </c>
      <c r="N23" s="1815" t="str">
        <f t="shared" si="6"/>
        <v xml:space="preserve"> </v>
      </c>
    </row>
    <row r="24" spans="3:14">
      <c r="C24" s="1061" t="s">
        <v>619</v>
      </c>
      <c r="D24" s="1801" t="s">
        <v>339</v>
      </c>
      <c r="E24" s="1063" t="s">
        <v>954</v>
      </c>
      <c r="F24" s="1064"/>
      <c r="G24" s="1063" t="s">
        <v>632</v>
      </c>
      <c r="H24" s="1065">
        <v>15612235.979499999</v>
      </c>
      <c r="I24" s="1066" t="s">
        <v>293</v>
      </c>
      <c r="J24" s="1815">
        <f t="shared" si="5"/>
        <v>15612235.979499999</v>
      </c>
      <c r="K24" s="1776" t="str">
        <f t="shared" si="1"/>
        <v xml:space="preserve"> </v>
      </c>
      <c r="L24" s="1776" t="str">
        <f t="shared" si="2"/>
        <v xml:space="preserve"> </v>
      </c>
      <c r="M24" s="1815" t="str">
        <f t="shared" si="3"/>
        <v xml:space="preserve"> </v>
      </c>
      <c r="N24" s="1815" t="str">
        <f t="shared" si="6"/>
        <v xml:space="preserve"> </v>
      </c>
    </row>
    <row r="25" spans="3:14">
      <c r="C25" s="1061" t="s">
        <v>619</v>
      </c>
      <c r="D25" s="1801" t="s">
        <v>339</v>
      </c>
      <c r="E25" s="1063" t="s">
        <v>955</v>
      </c>
      <c r="F25" s="1064"/>
      <c r="G25" s="1063" t="s">
        <v>633</v>
      </c>
      <c r="H25" s="1065">
        <v>-392336</v>
      </c>
      <c r="I25" s="1066" t="s">
        <v>160</v>
      </c>
      <c r="J25" s="1815" t="str">
        <f t="shared" si="5"/>
        <v xml:space="preserve"> </v>
      </c>
      <c r="K25" s="1776" t="str">
        <f t="shared" si="1"/>
        <v xml:space="preserve"> </v>
      </c>
      <c r="L25" s="1776">
        <f t="shared" si="2"/>
        <v>-392336</v>
      </c>
      <c r="M25" s="1815" t="str">
        <f t="shared" si="3"/>
        <v xml:space="preserve"> </v>
      </c>
      <c r="N25" s="1815" t="str">
        <f t="shared" si="6"/>
        <v xml:space="preserve"> </v>
      </c>
    </row>
    <row r="26" spans="3:14">
      <c r="C26" s="1061" t="s">
        <v>619</v>
      </c>
      <c r="D26" s="1801" t="s">
        <v>339</v>
      </c>
      <c r="E26" s="1063" t="s">
        <v>956</v>
      </c>
      <c r="F26" s="1064"/>
      <c r="G26" s="1063" t="s">
        <v>634</v>
      </c>
      <c r="H26" s="1065">
        <v>-15126739.697999999</v>
      </c>
      <c r="I26" s="1066" t="s">
        <v>160</v>
      </c>
      <c r="J26" s="1815" t="str">
        <f t="shared" si="5"/>
        <v xml:space="preserve"> </v>
      </c>
      <c r="K26" s="1776" t="str">
        <f t="shared" si="1"/>
        <v xml:space="preserve"> </v>
      </c>
      <c r="L26" s="1776">
        <f t="shared" si="2"/>
        <v>-15126739.697999999</v>
      </c>
      <c r="M26" s="1815" t="str">
        <f t="shared" si="3"/>
        <v xml:space="preserve"> </v>
      </c>
      <c r="N26" s="1815" t="str">
        <f t="shared" si="6"/>
        <v xml:space="preserve"> </v>
      </c>
    </row>
    <row r="27" spans="3:14">
      <c r="C27" s="1061" t="s">
        <v>619</v>
      </c>
      <c r="D27" s="1801" t="s">
        <v>339</v>
      </c>
      <c r="E27" s="1063" t="s">
        <v>957</v>
      </c>
      <c r="F27" s="1064"/>
      <c r="G27" s="1063" t="s">
        <v>635</v>
      </c>
      <c r="H27" s="1065">
        <v>-74932662.349999994</v>
      </c>
      <c r="I27" s="1066" t="s">
        <v>160</v>
      </c>
      <c r="J27" s="1815" t="str">
        <f t="shared" si="5"/>
        <v xml:space="preserve"> </v>
      </c>
      <c r="K27" s="1776" t="str">
        <f t="shared" si="1"/>
        <v xml:space="preserve"> </v>
      </c>
      <c r="L27" s="1776">
        <f t="shared" si="2"/>
        <v>-74932662.349999994</v>
      </c>
      <c r="M27" s="1815" t="str">
        <f t="shared" si="3"/>
        <v xml:space="preserve"> </v>
      </c>
      <c r="N27" s="1815" t="str">
        <f t="shared" si="6"/>
        <v xml:space="preserve"> </v>
      </c>
    </row>
    <row r="28" spans="3:14">
      <c r="C28" s="1061" t="s">
        <v>619</v>
      </c>
      <c r="D28" s="1801" t="s">
        <v>339</v>
      </c>
      <c r="E28" s="1063" t="s">
        <v>958</v>
      </c>
      <c r="F28" s="1064"/>
      <c r="G28" s="1063" t="s">
        <v>636</v>
      </c>
      <c r="H28" s="1065">
        <v>-36603536.549999997</v>
      </c>
      <c r="I28" s="1066" t="s">
        <v>160</v>
      </c>
      <c r="J28" s="1815" t="str">
        <f t="shared" si="5"/>
        <v xml:space="preserve"> </v>
      </c>
      <c r="K28" s="1776" t="str">
        <f t="shared" si="1"/>
        <v xml:space="preserve"> </v>
      </c>
      <c r="L28" s="1776">
        <f t="shared" si="2"/>
        <v>-36603536.549999997</v>
      </c>
      <c r="M28" s="1815" t="str">
        <f t="shared" si="3"/>
        <v xml:space="preserve"> </v>
      </c>
      <c r="N28" s="1815" t="str">
        <f t="shared" si="6"/>
        <v xml:space="preserve"> </v>
      </c>
    </row>
    <row r="29" spans="3:14">
      <c r="C29" s="1061" t="s">
        <v>619</v>
      </c>
      <c r="D29" s="1801"/>
      <c r="E29" s="1063" t="s">
        <v>1399</v>
      </c>
      <c r="F29" s="1064"/>
      <c r="G29" s="1126" t="s">
        <v>1420</v>
      </c>
      <c r="H29" s="1065">
        <v>-2359262.5</v>
      </c>
      <c r="I29" s="1066" t="s">
        <v>160</v>
      </c>
      <c r="J29" s="1815" t="str">
        <f t="shared" si="5"/>
        <v xml:space="preserve"> </v>
      </c>
      <c r="K29" s="1776" t="str">
        <f t="shared" si="1"/>
        <v xml:space="preserve"> </v>
      </c>
      <c r="L29" s="1776">
        <f t="shared" si="2"/>
        <v>-2359262.5</v>
      </c>
      <c r="M29" s="1815" t="str">
        <f t="shared" si="3"/>
        <v xml:space="preserve"> </v>
      </c>
      <c r="N29" s="1815" t="str">
        <f t="shared" si="6"/>
        <v xml:space="preserve"> </v>
      </c>
    </row>
    <row r="30" spans="3:14">
      <c r="C30" s="1061" t="s">
        <v>619</v>
      </c>
      <c r="D30" s="1801" t="s">
        <v>339</v>
      </c>
      <c r="E30" s="1063" t="s">
        <v>959</v>
      </c>
      <c r="F30" s="1064"/>
      <c r="G30" s="1063" t="s">
        <v>637</v>
      </c>
      <c r="H30" s="1065">
        <v>-12310263</v>
      </c>
      <c r="I30" s="1066" t="s">
        <v>160</v>
      </c>
      <c r="J30" s="1815" t="str">
        <f t="shared" si="5"/>
        <v xml:space="preserve"> </v>
      </c>
      <c r="K30" s="1776" t="str">
        <f t="shared" si="1"/>
        <v xml:space="preserve"> </v>
      </c>
      <c r="L30" s="1776">
        <f t="shared" si="2"/>
        <v>-12310263</v>
      </c>
      <c r="M30" s="1815" t="str">
        <f t="shared" si="3"/>
        <v xml:space="preserve"> </v>
      </c>
      <c r="N30" s="1815" t="str">
        <f t="shared" si="6"/>
        <v xml:space="preserve"> </v>
      </c>
    </row>
    <row r="31" spans="3:14">
      <c r="C31" s="1061" t="s">
        <v>619</v>
      </c>
      <c r="D31" s="1801" t="s">
        <v>339</v>
      </c>
      <c r="E31" s="1063" t="s">
        <v>960</v>
      </c>
      <c r="F31" s="1064"/>
      <c r="G31" s="1063" t="s">
        <v>638</v>
      </c>
      <c r="H31" s="1065">
        <v>0</v>
      </c>
      <c r="I31" s="1066" t="s">
        <v>160</v>
      </c>
      <c r="J31" s="1815" t="str">
        <f t="shared" si="5"/>
        <v xml:space="preserve"> </v>
      </c>
      <c r="K31" s="1776" t="str">
        <f t="shared" si="1"/>
        <v xml:space="preserve"> </v>
      </c>
      <c r="L31" s="1776">
        <f t="shared" si="2"/>
        <v>0</v>
      </c>
      <c r="M31" s="1815" t="str">
        <f t="shared" si="3"/>
        <v xml:space="preserve"> </v>
      </c>
      <c r="N31" s="1815" t="str">
        <f t="shared" si="6"/>
        <v xml:space="preserve"> </v>
      </c>
    </row>
    <row r="32" spans="3:14">
      <c r="C32" s="1061" t="s">
        <v>619</v>
      </c>
      <c r="D32" s="1801" t="s">
        <v>339</v>
      </c>
      <c r="E32" s="1063" t="s">
        <v>961</v>
      </c>
      <c r="F32" s="1064"/>
      <c r="G32" s="1063" t="s">
        <v>639</v>
      </c>
      <c r="H32" s="1065">
        <v>0</v>
      </c>
      <c r="I32" s="1066" t="s">
        <v>293</v>
      </c>
      <c r="J32" s="1815">
        <f t="shared" si="5"/>
        <v>0</v>
      </c>
      <c r="K32" s="1776" t="str">
        <f t="shared" si="1"/>
        <v xml:space="preserve"> </v>
      </c>
      <c r="L32" s="1776" t="str">
        <f t="shared" si="2"/>
        <v xml:space="preserve"> </v>
      </c>
      <c r="M32" s="1815" t="str">
        <f t="shared" si="3"/>
        <v xml:space="preserve"> </v>
      </c>
      <c r="N32" s="1815" t="str">
        <f t="shared" si="6"/>
        <v xml:space="preserve"> </v>
      </c>
    </row>
    <row r="33" spans="3:17">
      <c r="C33" s="1061" t="s">
        <v>619</v>
      </c>
      <c r="D33" s="1801" t="s">
        <v>339</v>
      </c>
      <c r="E33" s="1063" t="s">
        <v>962</v>
      </c>
      <c r="F33" s="1064"/>
      <c r="G33" s="1063" t="s">
        <v>640</v>
      </c>
      <c r="H33" s="1065">
        <v>-11180579.000499999</v>
      </c>
      <c r="I33" s="1066" t="s">
        <v>160</v>
      </c>
      <c r="J33" s="1815" t="str">
        <f t="shared" si="5"/>
        <v xml:space="preserve"> </v>
      </c>
      <c r="K33" s="1776" t="str">
        <f t="shared" si="1"/>
        <v xml:space="preserve"> </v>
      </c>
      <c r="L33" s="1776">
        <f t="shared" si="2"/>
        <v>-11180579.000499999</v>
      </c>
      <c r="M33" s="1815" t="str">
        <f t="shared" si="3"/>
        <v xml:space="preserve"> </v>
      </c>
      <c r="N33" s="1815" t="str">
        <f t="shared" si="6"/>
        <v xml:space="preserve"> </v>
      </c>
    </row>
    <row r="34" spans="3:17">
      <c r="C34" s="1061" t="s">
        <v>619</v>
      </c>
      <c r="D34" s="1801" t="s">
        <v>339</v>
      </c>
      <c r="E34" s="1063" t="s">
        <v>963</v>
      </c>
      <c r="F34" s="1064"/>
      <c r="G34" s="1063" t="s">
        <v>641</v>
      </c>
      <c r="H34" s="1065">
        <v>-2878324.9984999998</v>
      </c>
      <c r="I34" s="1066" t="s">
        <v>160</v>
      </c>
      <c r="J34" s="1815" t="str">
        <f t="shared" si="5"/>
        <v xml:space="preserve"> </v>
      </c>
      <c r="K34" s="1776" t="str">
        <f t="shared" si="1"/>
        <v xml:space="preserve"> </v>
      </c>
      <c r="L34" s="1776">
        <f t="shared" si="2"/>
        <v>-2878324.9984999998</v>
      </c>
      <c r="M34" s="1815" t="str">
        <f t="shared" si="3"/>
        <v xml:space="preserve"> </v>
      </c>
      <c r="N34" s="1815" t="str">
        <f t="shared" si="6"/>
        <v xml:space="preserve"> </v>
      </c>
    </row>
    <row r="35" spans="3:17">
      <c r="C35" s="1061" t="s">
        <v>619</v>
      </c>
      <c r="D35" s="1801" t="s">
        <v>339</v>
      </c>
      <c r="E35" s="1063" t="s">
        <v>964</v>
      </c>
      <c r="F35" s="1064"/>
      <c r="G35" s="1063" t="s">
        <v>642</v>
      </c>
      <c r="H35" s="1065">
        <v>-22866.000499999998</v>
      </c>
      <c r="I35" s="1066" t="s">
        <v>293</v>
      </c>
      <c r="J35" s="1815">
        <f t="shared" si="5"/>
        <v>-22866.000499999998</v>
      </c>
      <c r="K35" s="1776" t="str">
        <f t="shared" si="1"/>
        <v xml:space="preserve"> </v>
      </c>
      <c r="L35" s="1776" t="str">
        <f t="shared" si="2"/>
        <v xml:space="preserve"> </v>
      </c>
      <c r="M35" s="1815" t="str">
        <f t="shared" si="3"/>
        <v xml:space="preserve"> </v>
      </c>
      <c r="N35" s="1815" t="str">
        <f t="shared" si="6"/>
        <v xml:space="preserve"> </v>
      </c>
    </row>
    <row r="36" spans="3:17">
      <c r="C36" s="1061" t="s">
        <v>619</v>
      </c>
      <c r="D36" s="1801" t="s">
        <v>339</v>
      </c>
      <c r="E36" s="1063" t="s">
        <v>965</v>
      </c>
      <c r="F36" s="1064"/>
      <c r="G36" s="1063" t="s">
        <v>643</v>
      </c>
      <c r="H36" s="1065">
        <v>6218248.2704999996</v>
      </c>
      <c r="I36" s="1066" t="s">
        <v>293</v>
      </c>
      <c r="J36" s="1815">
        <f t="shared" si="5"/>
        <v>6218248.2704999996</v>
      </c>
      <c r="K36" s="1776" t="str">
        <f t="shared" si="1"/>
        <v xml:space="preserve"> </v>
      </c>
      <c r="L36" s="1776" t="str">
        <f t="shared" si="2"/>
        <v xml:space="preserve"> </v>
      </c>
      <c r="M36" s="1815" t="str">
        <f t="shared" si="3"/>
        <v xml:space="preserve"> </v>
      </c>
      <c r="N36" s="1815" t="str">
        <f t="shared" si="6"/>
        <v xml:space="preserve"> </v>
      </c>
    </row>
    <row r="37" spans="3:17">
      <c r="C37" s="1061" t="s">
        <v>619</v>
      </c>
      <c r="D37" s="1801" t="s">
        <v>339</v>
      </c>
      <c r="E37" s="1063" t="s">
        <v>966</v>
      </c>
      <c r="F37" s="1064"/>
      <c r="G37" s="1063" t="s">
        <v>644</v>
      </c>
      <c r="H37" s="1065">
        <v>8149.3999999999987</v>
      </c>
      <c r="I37" s="1066" t="s">
        <v>302</v>
      </c>
      <c r="J37" s="1815" t="str">
        <f t="shared" si="5"/>
        <v xml:space="preserve"> </v>
      </c>
      <c r="K37" s="1776" t="str">
        <f t="shared" si="1"/>
        <v xml:space="preserve"> </v>
      </c>
      <c r="L37" s="1776" t="str">
        <f t="shared" si="2"/>
        <v xml:space="preserve"> </v>
      </c>
      <c r="M37" s="1815" t="str">
        <f t="shared" si="3"/>
        <v xml:space="preserve"> </v>
      </c>
      <c r="N37" s="1815">
        <f t="shared" si="6"/>
        <v>8149.3999999999987</v>
      </c>
    </row>
    <row r="38" spans="3:17">
      <c r="C38" s="1061" t="s">
        <v>619</v>
      </c>
      <c r="D38" s="1801" t="s">
        <v>339</v>
      </c>
      <c r="E38" s="1063" t="s">
        <v>967</v>
      </c>
      <c r="F38" s="1064"/>
      <c r="G38" s="1063" t="s">
        <v>645</v>
      </c>
      <c r="H38" s="1065">
        <v>-610283.79999999993</v>
      </c>
      <c r="I38" s="1066" t="s">
        <v>160</v>
      </c>
      <c r="J38" s="1815" t="str">
        <f t="shared" si="5"/>
        <v xml:space="preserve"> </v>
      </c>
      <c r="K38" s="1776" t="str">
        <f t="shared" si="1"/>
        <v xml:space="preserve"> </v>
      </c>
      <c r="L38" s="1776">
        <f t="shared" si="2"/>
        <v>-610283.79999999993</v>
      </c>
      <c r="M38" s="1815" t="str">
        <f t="shared" si="3"/>
        <v xml:space="preserve"> </v>
      </c>
      <c r="N38" s="1815" t="str">
        <f t="shared" si="6"/>
        <v xml:space="preserve"> </v>
      </c>
    </row>
    <row r="39" spans="3:17">
      <c r="C39" s="1061" t="s">
        <v>619</v>
      </c>
      <c r="D39" s="1801" t="s">
        <v>339</v>
      </c>
      <c r="E39" s="1063" t="s">
        <v>968</v>
      </c>
      <c r="F39" s="1064"/>
      <c r="G39" s="1063" t="s">
        <v>646</v>
      </c>
      <c r="H39" s="1065">
        <v>-11575831.143500002</v>
      </c>
      <c r="I39" s="1066" t="s">
        <v>302</v>
      </c>
      <c r="J39" s="1815" t="str">
        <f t="shared" si="5"/>
        <v xml:space="preserve"> </v>
      </c>
      <c r="K39" s="1776" t="str">
        <f t="shared" si="1"/>
        <v xml:space="preserve"> </v>
      </c>
      <c r="L39" s="1776" t="str">
        <f t="shared" si="2"/>
        <v xml:space="preserve"> </v>
      </c>
      <c r="M39" s="1815" t="str">
        <f t="shared" si="3"/>
        <v xml:space="preserve"> </v>
      </c>
      <c r="N39" s="1815">
        <f t="shared" si="6"/>
        <v>-11575831.143500002</v>
      </c>
    </row>
    <row r="40" spans="3:17">
      <c r="C40" s="1061" t="s">
        <v>619</v>
      </c>
      <c r="D40" s="1801" t="s">
        <v>339</v>
      </c>
      <c r="E40" s="1063" t="s">
        <v>969</v>
      </c>
      <c r="F40" s="1064"/>
      <c r="G40" s="1063" t="s">
        <v>647</v>
      </c>
      <c r="H40" s="1065">
        <v>-14179508</v>
      </c>
      <c r="I40" s="1066" t="s">
        <v>293</v>
      </c>
      <c r="J40" s="1815">
        <f t="shared" si="5"/>
        <v>-14179508</v>
      </c>
      <c r="K40" s="1776" t="str">
        <f t="shared" si="1"/>
        <v xml:space="preserve"> </v>
      </c>
      <c r="L40" s="1776" t="str">
        <f t="shared" si="2"/>
        <v xml:space="preserve"> </v>
      </c>
      <c r="M40" s="1815" t="str">
        <f t="shared" si="3"/>
        <v xml:space="preserve"> </v>
      </c>
      <c r="N40" s="1815" t="str">
        <f t="shared" si="6"/>
        <v xml:space="preserve"> </v>
      </c>
    </row>
    <row r="41" spans="3:17">
      <c r="C41" s="1061" t="s">
        <v>619</v>
      </c>
      <c r="D41" s="1801" t="s">
        <v>339</v>
      </c>
      <c r="E41" s="1063" t="s">
        <v>970</v>
      </c>
      <c r="F41" s="1064"/>
      <c r="G41" s="1063" t="s">
        <v>648</v>
      </c>
      <c r="H41" s="1065">
        <v>-70410957.448999986</v>
      </c>
      <c r="I41" s="1066" t="s">
        <v>160</v>
      </c>
      <c r="J41" s="1815" t="str">
        <f t="shared" si="5"/>
        <v xml:space="preserve"> </v>
      </c>
      <c r="K41" s="1776" t="str">
        <f t="shared" si="1"/>
        <v xml:space="preserve"> </v>
      </c>
      <c r="L41" s="1776">
        <f t="shared" si="2"/>
        <v>-70410957.448999986</v>
      </c>
      <c r="M41" s="1815" t="str">
        <f t="shared" si="3"/>
        <v xml:space="preserve"> </v>
      </c>
      <c r="N41" s="1815" t="str">
        <f t="shared" si="6"/>
        <v xml:space="preserve"> </v>
      </c>
    </row>
    <row r="42" spans="3:17">
      <c r="C42" s="1061" t="s">
        <v>619</v>
      </c>
      <c r="D42" s="1801" t="s">
        <v>339</v>
      </c>
      <c r="E42" s="1063" t="s">
        <v>971</v>
      </c>
      <c r="F42" s="1064"/>
      <c r="G42" s="1063" t="s">
        <v>649</v>
      </c>
      <c r="H42" s="1065">
        <v>-10564.098999999998</v>
      </c>
      <c r="I42" s="1066" t="s">
        <v>293</v>
      </c>
      <c r="J42" s="1815">
        <f t="shared" si="5"/>
        <v>-10564.098999999998</v>
      </c>
      <c r="K42" s="1776" t="str">
        <f t="shared" si="1"/>
        <v xml:space="preserve"> </v>
      </c>
      <c r="L42" s="1776" t="str">
        <f t="shared" si="2"/>
        <v xml:space="preserve"> </v>
      </c>
      <c r="M42" s="1815" t="str">
        <f t="shared" si="3"/>
        <v xml:space="preserve"> </v>
      </c>
      <c r="N42" s="1815" t="str">
        <f t="shared" si="6"/>
        <v xml:space="preserve"> </v>
      </c>
    </row>
    <row r="43" spans="3:17">
      <c r="C43" s="1061"/>
      <c r="D43" s="1801"/>
      <c r="E43" s="1063"/>
      <c r="F43" s="1064"/>
      <c r="G43" s="1063"/>
      <c r="H43" s="1065"/>
      <c r="I43" s="1066"/>
      <c r="J43" s="1815" t="str">
        <f t="shared" ref="J43" si="7">IF(I43="e",H43," ")</f>
        <v xml:space="preserve"> </v>
      </c>
      <c r="K43" s="1776" t="str">
        <f t="shared" si="1"/>
        <v xml:space="preserve"> </v>
      </c>
      <c r="L43" s="1776" t="str">
        <f t="shared" si="2"/>
        <v xml:space="preserve"> </v>
      </c>
      <c r="M43" s="1815" t="str">
        <f t="shared" si="3"/>
        <v xml:space="preserve"> </v>
      </c>
      <c r="N43" s="1815" t="str">
        <f t="shared" ref="N43" si="8">IF(I43="Labor",H43," ")</f>
        <v xml:space="preserve"> </v>
      </c>
    </row>
    <row r="44" spans="3:17">
      <c r="C44" s="1061" t="s">
        <v>619</v>
      </c>
      <c r="D44" s="1801"/>
      <c r="E44" s="1063" t="s">
        <v>826</v>
      </c>
      <c r="F44" s="1064"/>
      <c r="G44" s="1063" t="s">
        <v>1269</v>
      </c>
      <c r="H44" s="1065">
        <v>387222.41</v>
      </c>
      <c r="I44" s="1066" t="s">
        <v>1271</v>
      </c>
      <c r="J44" s="1065">
        <f>+'SWEPCO WS C-4 Excess FIT'!E39</f>
        <v>387222.41</v>
      </c>
      <c r="K44" s="1065">
        <f>+'SWEPCO WS C-4 Excess FIT'!E38</f>
        <v>0</v>
      </c>
      <c r="L44" s="1776"/>
      <c r="M44" s="1816"/>
      <c r="N44" s="1815"/>
      <c r="Q44" s="1793">
        <v>-460524988.73140806</v>
      </c>
    </row>
    <row r="45" spans="3:17">
      <c r="C45" s="1061" t="s">
        <v>619</v>
      </c>
      <c r="D45" s="1801"/>
      <c r="E45" s="1063" t="s">
        <v>826</v>
      </c>
      <c r="F45" s="1064"/>
      <c r="G45" s="1063" t="s">
        <v>1270</v>
      </c>
      <c r="H45" s="1065">
        <v>0</v>
      </c>
      <c r="I45" s="1066" t="s">
        <v>1271</v>
      </c>
      <c r="J45" s="1065">
        <f>+'SWEPCO WS C-4 Excess FIT'!F23</f>
        <v>0</v>
      </c>
      <c r="K45" s="1065">
        <f>+'SWEPCO WS C-4 Excess FIT'!F22</f>
        <v>0</v>
      </c>
      <c r="L45" s="1776"/>
      <c r="M45" s="1815"/>
      <c r="N45" s="1815"/>
      <c r="Q45" s="1793">
        <v>-75913942.360845491</v>
      </c>
    </row>
    <row r="46" spans="3:17" s="1114" customFormat="1">
      <c r="C46" s="1118"/>
      <c r="D46" s="1817"/>
      <c r="E46" s="1120"/>
      <c r="F46" s="1121"/>
      <c r="G46" s="1122"/>
      <c r="H46" s="1123"/>
      <c r="I46" s="1124"/>
      <c r="J46" s="1818"/>
      <c r="K46" s="1113"/>
      <c r="L46" s="1113"/>
      <c r="M46" s="1818"/>
      <c r="N46" s="1818"/>
      <c r="Q46" s="2422"/>
    </row>
    <row r="47" spans="3:17">
      <c r="C47" s="1061"/>
      <c r="D47" s="1801"/>
      <c r="E47" s="1063"/>
      <c r="F47" s="1064"/>
      <c r="G47" s="1063"/>
      <c r="H47" s="1065"/>
      <c r="I47" s="1066"/>
      <c r="J47" s="1815" t="str">
        <f t="shared" si="0"/>
        <v xml:space="preserve"> </v>
      </c>
      <c r="K47" s="1776" t="str">
        <f>IF($I46="T",$H47," ")</f>
        <v xml:space="preserve"> </v>
      </c>
      <c r="L47" s="1776" t="str">
        <f>IF($I47="PTD",$H47," ")</f>
        <v xml:space="preserve"> </v>
      </c>
      <c r="M47" s="1815" t="str">
        <f>IF($I46="T&amp;D",$H47," ")</f>
        <v xml:space="preserve"> </v>
      </c>
      <c r="N47" s="1815" t="str">
        <f t="shared" si="4"/>
        <v xml:space="preserve"> </v>
      </c>
      <c r="Q47" s="1793">
        <f>SUM(Q44:Q46)</f>
        <v>-536438931.09225357</v>
      </c>
    </row>
    <row r="48" spans="3:17">
      <c r="C48" s="1061" t="s">
        <v>619</v>
      </c>
      <c r="D48" s="1801"/>
      <c r="E48" s="1063"/>
      <c r="F48" s="1064"/>
      <c r="G48" s="1063" t="s">
        <v>1095</v>
      </c>
      <c r="H48" s="1065"/>
      <c r="I48" s="1066" t="s">
        <v>160</v>
      </c>
      <c r="J48" s="1065"/>
      <c r="K48" s="1065"/>
      <c r="L48" s="1065"/>
      <c r="M48" s="1065"/>
      <c r="N48" s="1065"/>
      <c r="Q48" s="1793">
        <v>-546890971.95000005</v>
      </c>
    </row>
    <row r="49" spans="3:17">
      <c r="C49" s="779"/>
      <c r="D49" s="1802"/>
      <c r="H49" s="1776"/>
      <c r="I49" s="1819"/>
      <c r="J49" s="1815" t="str">
        <f>IF(I49="e",H49," ")</f>
        <v xml:space="preserve"> </v>
      </c>
      <c r="K49" s="1776" t="str">
        <f>IF($I49="T",$H49," ")</f>
        <v xml:space="preserve"> </v>
      </c>
      <c r="L49" s="1776" t="str">
        <f>IF($I49="PTD",$H49," ")</f>
        <v xml:space="preserve"> </v>
      </c>
      <c r="M49" s="1816" t="str">
        <f>IF($I44="T&amp;D",$H49," ")</f>
        <v xml:space="preserve"> </v>
      </c>
      <c r="N49" s="1815" t="str">
        <f>IF(I49="Labor",H49," ")</f>
        <v xml:space="preserve"> </v>
      </c>
      <c r="Q49" s="1793">
        <f>+Q47-Q48</f>
        <v>10452040.857746482</v>
      </c>
    </row>
    <row r="50" spans="3:17">
      <c r="C50" s="1116">
        <v>282.10000000000002</v>
      </c>
      <c r="D50" s="791"/>
      <c r="G50" s="1077" t="s">
        <v>161</v>
      </c>
      <c r="H50" s="1078">
        <f>SUM(H10:H49)</f>
        <v>-1366840207.4124997</v>
      </c>
      <c r="I50" s="1776"/>
      <c r="J50" s="1078">
        <f>SUM(J10:J49)</f>
        <v>-17500223.517000005</v>
      </c>
      <c r="K50" s="1078">
        <f>SUM(K10:K49)</f>
        <v>0</v>
      </c>
      <c r="L50" s="1078">
        <f>SUM(L10:L49)</f>
        <v>-1337772302.1519997</v>
      </c>
      <c r="M50" s="1078">
        <f>SUM(M10:M49)</f>
        <v>0</v>
      </c>
      <c r="N50" s="1078">
        <f>SUM(N10:N49)</f>
        <v>-11567681.743500002</v>
      </c>
      <c r="O50" s="1068"/>
      <c r="Q50" s="1793">
        <v>387222.41</v>
      </c>
    </row>
    <row r="51" spans="3:17" ht="25.5">
      <c r="G51" s="1803" t="s">
        <v>171</v>
      </c>
      <c r="H51" s="1820">
        <v>-1366840207</v>
      </c>
      <c r="I51" s="1804"/>
      <c r="J51" s="1776">
        <v>-450664410</v>
      </c>
      <c r="K51" s="1776">
        <v>-103661967</v>
      </c>
      <c r="L51" s="1776">
        <v>-790923330</v>
      </c>
      <c r="M51" s="2423">
        <f>+K51/J51</f>
        <v>0.23002030934725909</v>
      </c>
      <c r="N51" s="1776"/>
      <c r="Q51" s="1793">
        <f>+Q49-Q50</f>
        <v>10064818.447746482</v>
      </c>
    </row>
    <row r="52" spans="3:17">
      <c r="H52" s="1805">
        <f>+H51-H50</f>
        <v>0.41249966621398926</v>
      </c>
      <c r="I52" s="1776"/>
      <c r="J52" s="1776"/>
      <c r="K52" s="1776"/>
      <c r="L52" s="1776"/>
      <c r="M52" s="1776"/>
      <c r="N52" s="1776"/>
      <c r="Q52" s="1793">
        <v>42000</v>
      </c>
    </row>
    <row r="53" spans="3:17">
      <c r="H53" s="1805"/>
      <c r="I53" s="1776"/>
      <c r="J53" s="1776"/>
      <c r="K53" s="1776"/>
      <c r="L53" s="1776"/>
      <c r="M53" s="1776"/>
      <c r="N53" s="1776"/>
      <c r="Q53" s="1793">
        <f>+Q51-Q52</f>
        <v>10022818.447746482</v>
      </c>
    </row>
    <row r="54" spans="3:17">
      <c r="C54" s="1061" t="s">
        <v>650</v>
      </c>
      <c r="D54" s="1806" t="s">
        <v>339</v>
      </c>
      <c r="E54" s="1063" t="s">
        <v>1421</v>
      </c>
      <c r="F54" s="1064"/>
      <c r="G54" s="1126" t="s">
        <v>1422</v>
      </c>
      <c r="H54" s="1065">
        <v>-1618944.8169999998</v>
      </c>
      <c r="I54" s="1066" t="s">
        <v>293</v>
      </c>
      <c r="J54" s="1815">
        <f t="shared" ref="J54" si="9">IF(I54="e",H54," ")</f>
        <v>-1618944.8169999998</v>
      </c>
      <c r="K54" s="1776" t="str">
        <f t="shared" ref="K54:K99" si="10">IF($I54="T",$H54," ")</f>
        <v xml:space="preserve"> </v>
      </c>
      <c r="L54" s="1776" t="str">
        <f t="shared" ref="L54:L99" si="11">IF($I54="PTD",$H54," ")</f>
        <v xml:space="preserve"> </v>
      </c>
      <c r="M54" s="1815" t="str">
        <f t="shared" ref="M54:M99" si="12">IF($I54="T&amp;D",$H54," ")</f>
        <v xml:space="preserve"> </v>
      </c>
      <c r="N54" s="1815" t="str">
        <f t="shared" ref="N54" si="13">IF(I54="Labor",H54," ")</f>
        <v xml:space="preserve"> </v>
      </c>
    </row>
    <row r="55" spans="3:17">
      <c r="C55" s="1061" t="s">
        <v>650</v>
      </c>
      <c r="D55" s="1806"/>
      <c r="E55" s="1063" t="s">
        <v>972</v>
      </c>
      <c r="F55" s="1064"/>
      <c r="G55" s="1063" t="s">
        <v>651</v>
      </c>
      <c r="H55" s="1065">
        <v>0</v>
      </c>
      <c r="I55" s="1066" t="s">
        <v>293</v>
      </c>
      <c r="J55" s="1815">
        <f t="shared" ref="J55:J99" si="14">IF(I55="e",H55," ")</f>
        <v>0</v>
      </c>
      <c r="K55" s="1776" t="str">
        <f t="shared" si="10"/>
        <v xml:space="preserve"> </v>
      </c>
      <c r="L55" s="1776" t="str">
        <f t="shared" si="11"/>
        <v xml:space="preserve"> </v>
      </c>
      <c r="M55" s="1815" t="str">
        <f t="shared" si="12"/>
        <v xml:space="preserve"> </v>
      </c>
      <c r="N55" s="1815" t="str">
        <f t="shared" ref="N55:N99" si="15">IF(I55="Labor",H55," ")</f>
        <v xml:space="preserve"> </v>
      </c>
    </row>
    <row r="56" spans="3:17">
      <c r="C56" s="1061" t="s">
        <v>650</v>
      </c>
      <c r="D56" s="1806"/>
      <c r="E56" s="1063" t="s">
        <v>1421</v>
      </c>
      <c r="F56" s="1064"/>
      <c r="G56" s="1126" t="s">
        <v>1423</v>
      </c>
      <c r="H56" s="1065">
        <v>-14934747.236499999</v>
      </c>
      <c r="I56" s="1066" t="s">
        <v>293</v>
      </c>
      <c r="J56" s="1815">
        <f t="shared" si="14"/>
        <v>-14934747.236499999</v>
      </c>
      <c r="K56" s="1776" t="str">
        <f t="shared" si="10"/>
        <v xml:space="preserve"> </v>
      </c>
      <c r="L56" s="1776" t="str">
        <f t="shared" si="11"/>
        <v xml:space="preserve"> </v>
      </c>
      <c r="M56" s="1815" t="str">
        <f t="shared" si="12"/>
        <v xml:space="preserve"> </v>
      </c>
      <c r="N56" s="1815" t="str">
        <f t="shared" si="15"/>
        <v xml:space="preserve"> </v>
      </c>
    </row>
    <row r="57" spans="3:17">
      <c r="C57" s="1061" t="s">
        <v>650</v>
      </c>
      <c r="D57" s="1806"/>
      <c r="E57" s="1063" t="s">
        <v>1421</v>
      </c>
      <c r="F57" s="1064"/>
      <c r="G57" s="1126" t="s">
        <v>1424</v>
      </c>
      <c r="H57" s="1065">
        <v>-81328.81749999999</v>
      </c>
      <c r="I57" s="1066" t="s">
        <v>293</v>
      </c>
      <c r="J57" s="1815">
        <f t="shared" si="14"/>
        <v>-81328.81749999999</v>
      </c>
      <c r="K57" s="1776" t="str">
        <f t="shared" si="10"/>
        <v xml:space="preserve"> </v>
      </c>
      <c r="L57" s="1776" t="str">
        <f t="shared" si="11"/>
        <v xml:space="preserve"> </v>
      </c>
      <c r="M57" s="1815" t="str">
        <f t="shared" si="12"/>
        <v xml:space="preserve"> </v>
      </c>
      <c r="N57" s="1815" t="str">
        <f t="shared" si="15"/>
        <v xml:space="preserve"> </v>
      </c>
    </row>
    <row r="58" spans="3:17">
      <c r="C58" s="1061" t="s">
        <v>650</v>
      </c>
      <c r="D58" s="1806"/>
      <c r="E58" s="1063" t="s">
        <v>973</v>
      </c>
      <c r="F58" s="1064"/>
      <c r="G58" s="1063" t="s">
        <v>652</v>
      </c>
      <c r="H58" s="1065">
        <v>-886889.22699999972</v>
      </c>
      <c r="I58" s="1066" t="s">
        <v>293</v>
      </c>
      <c r="J58" s="1815">
        <f t="shared" si="14"/>
        <v>-886889.22699999972</v>
      </c>
      <c r="K58" s="1776" t="str">
        <f t="shared" si="10"/>
        <v xml:space="preserve"> </v>
      </c>
      <c r="L58" s="1776" t="str">
        <f t="shared" si="11"/>
        <v xml:space="preserve"> </v>
      </c>
      <c r="M58" s="1815" t="str">
        <f t="shared" si="12"/>
        <v xml:space="preserve"> </v>
      </c>
      <c r="N58" s="1815" t="str">
        <f t="shared" si="15"/>
        <v xml:space="preserve"> </v>
      </c>
    </row>
    <row r="59" spans="3:17">
      <c r="C59" s="1061" t="s">
        <v>650</v>
      </c>
      <c r="D59" s="1806"/>
      <c r="E59" s="1063" t="s">
        <v>974</v>
      </c>
      <c r="F59" s="1064"/>
      <c r="G59" s="1063" t="s">
        <v>653</v>
      </c>
      <c r="H59" s="1065">
        <v>-5555.8230000000003</v>
      </c>
      <c r="I59" s="1066" t="s">
        <v>293</v>
      </c>
      <c r="J59" s="1815">
        <f t="shared" si="14"/>
        <v>-5555.8230000000003</v>
      </c>
      <c r="K59" s="1776" t="str">
        <f t="shared" si="10"/>
        <v xml:space="preserve"> </v>
      </c>
      <c r="L59" s="1776" t="str">
        <f t="shared" si="11"/>
        <v xml:space="preserve"> </v>
      </c>
      <c r="M59" s="1815" t="str">
        <f t="shared" si="12"/>
        <v xml:space="preserve"> </v>
      </c>
      <c r="N59" s="1815" t="str">
        <f t="shared" si="15"/>
        <v xml:space="preserve"> </v>
      </c>
    </row>
    <row r="60" spans="3:17">
      <c r="C60" s="1061" t="s">
        <v>650</v>
      </c>
      <c r="D60" s="1806" t="s">
        <v>339</v>
      </c>
      <c r="E60" s="1063" t="s">
        <v>975</v>
      </c>
      <c r="F60" s="1064"/>
      <c r="G60" s="1063" t="s">
        <v>654</v>
      </c>
      <c r="H60" s="1065">
        <v>46827.549999999996</v>
      </c>
      <c r="I60" s="1066" t="s">
        <v>293</v>
      </c>
      <c r="J60" s="1815">
        <f t="shared" si="14"/>
        <v>46827.549999999996</v>
      </c>
      <c r="K60" s="1776" t="str">
        <f t="shared" si="10"/>
        <v xml:space="preserve"> </v>
      </c>
      <c r="L60" s="1776" t="str">
        <f t="shared" si="11"/>
        <v xml:space="preserve"> </v>
      </c>
      <c r="M60" s="1815" t="str">
        <f t="shared" si="12"/>
        <v xml:space="preserve"> </v>
      </c>
      <c r="N60" s="1815" t="str">
        <f t="shared" si="15"/>
        <v xml:space="preserve"> </v>
      </c>
    </row>
    <row r="61" spans="3:17">
      <c r="C61" s="1061" t="s">
        <v>650</v>
      </c>
      <c r="D61" s="1806" t="s">
        <v>339</v>
      </c>
      <c r="E61" s="1063" t="s">
        <v>976</v>
      </c>
      <c r="F61" s="1064"/>
      <c r="G61" s="1063" t="s">
        <v>655</v>
      </c>
      <c r="H61" s="1065">
        <v>-30362426.679499988</v>
      </c>
      <c r="I61" s="1066" t="s">
        <v>302</v>
      </c>
      <c r="J61" s="1815" t="str">
        <f t="shared" si="14"/>
        <v xml:space="preserve"> </v>
      </c>
      <c r="K61" s="1776" t="str">
        <f t="shared" si="10"/>
        <v xml:space="preserve"> </v>
      </c>
      <c r="L61" s="1776" t="str">
        <f t="shared" si="11"/>
        <v xml:space="preserve"> </v>
      </c>
      <c r="M61" s="1815" t="str">
        <f t="shared" si="12"/>
        <v xml:space="preserve"> </v>
      </c>
      <c r="N61" s="1815">
        <f t="shared" si="15"/>
        <v>-30362426.679499988</v>
      </c>
    </row>
    <row r="62" spans="3:17">
      <c r="C62" s="1061" t="s">
        <v>650</v>
      </c>
      <c r="D62" s="1806" t="s">
        <v>339</v>
      </c>
      <c r="E62" s="1063" t="s">
        <v>977</v>
      </c>
      <c r="F62" s="1064"/>
      <c r="G62" s="1063" t="s">
        <v>656</v>
      </c>
      <c r="H62" s="1065">
        <v>33701809.599499986</v>
      </c>
      <c r="I62" s="1066" t="s">
        <v>293</v>
      </c>
      <c r="J62" s="1815">
        <f t="shared" si="14"/>
        <v>33701809.599499986</v>
      </c>
      <c r="K62" s="1776" t="str">
        <f t="shared" si="10"/>
        <v xml:space="preserve"> </v>
      </c>
      <c r="L62" s="1776" t="str">
        <f t="shared" si="11"/>
        <v xml:space="preserve"> </v>
      </c>
      <c r="M62" s="1815" t="str">
        <f t="shared" si="12"/>
        <v xml:space="preserve"> </v>
      </c>
      <c r="N62" s="1815" t="str">
        <f t="shared" si="15"/>
        <v xml:space="preserve"> </v>
      </c>
    </row>
    <row r="63" spans="3:17">
      <c r="C63" s="1061" t="s">
        <v>650</v>
      </c>
      <c r="D63" s="1806" t="s">
        <v>339</v>
      </c>
      <c r="E63" s="1063" t="s">
        <v>978</v>
      </c>
      <c r="F63" s="1064"/>
      <c r="G63" s="1063" t="s">
        <v>657</v>
      </c>
      <c r="H63" s="1065">
        <v>7.0104999999999995</v>
      </c>
      <c r="I63" s="1066" t="s">
        <v>160</v>
      </c>
      <c r="J63" s="1815" t="str">
        <f t="shared" si="14"/>
        <v xml:space="preserve"> </v>
      </c>
      <c r="K63" s="1776" t="str">
        <f t="shared" si="10"/>
        <v xml:space="preserve"> </v>
      </c>
      <c r="L63" s="1776">
        <f t="shared" si="11"/>
        <v>7.0104999999999995</v>
      </c>
      <c r="M63" s="1815" t="str">
        <f t="shared" si="12"/>
        <v xml:space="preserve"> </v>
      </c>
      <c r="N63" s="1815" t="str">
        <f t="shared" si="15"/>
        <v xml:space="preserve"> </v>
      </c>
    </row>
    <row r="64" spans="3:17">
      <c r="C64" s="1061" t="s">
        <v>650</v>
      </c>
      <c r="D64" s="1806" t="s">
        <v>339</v>
      </c>
      <c r="E64" s="1063" t="s">
        <v>979</v>
      </c>
      <c r="F64" s="1064"/>
      <c r="G64" s="1063" t="s">
        <v>658</v>
      </c>
      <c r="H64" s="1065">
        <v>-2490211.0870000003</v>
      </c>
      <c r="I64" s="1066" t="s">
        <v>293</v>
      </c>
      <c r="J64" s="1815">
        <f t="shared" si="14"/>
        <v>-2490211.0870000003</v>
      </c>
      <c r="K64" s="1776" t="str">
        <f t="shared" si="10"/>
        <v xml:space="preserve"> </v>
      </c>
      <c r="L64" s="1776" t="str">
        <f t="shared" si="11"/>
        <v xml:space="preserve"> </v>
      </c>
      <c r="M64" s="1815" t="str">
        <f t="shared" si="12"/>
        <v xml:space="preserve"> </v>
      </c>
      <c r="N64" s="1815" t="str">
        <f t="shared" si="15"/>
        <v xml:space="preserve"> </v>
      </c>
    </row>
    <row r="65" spans="3:14">
      <c r="C65" s="1061" t="s">
        <v>650</v>
      </c>
      <c r="D65" s="1806" t="s">
        <v>339</v>
      </c>
      <c r="E65" s="1063" t="s">
        <v>980</v>
      </c>
      <c r="F65" s="1064"/>
      <c r="G65" s="1063" t="s">
        <v>659</v>
      </c>
      <c r="H65" s="1065">
        <v>-2.0000002114102244E-3</v>
      </c>
      <c r="I65" s="1066" t="s">
        <v>293</v>
      </c>
      <c r="J65" s="1815">
        <f t="shared" si="14"/>
        <v>-2.0000002114102244E-3</v>
      </c>
      <c r="K65" s="1776" t="str">
        <f t="shared" si="10"/>
        <v xml:space="preserve"> </v>
      </c>
      <c r="L65" s="1776" t="str">
        <f t="shared" si="11"/>
        <v xml:space="preserve"> </v>
      </c>
      <c r="M65" s="1815" t="str">
        <f t="shared" si="12"/>
        <v xml:space="preserve"> </v>
      </c>
      <c r="N65" s="1815" t="str">
        <f t="shared" si="15"/>
        <v xml:space="preserve"> </v>
      </c>
    </row>
    <row r="66" spans="3:14">
      <c r="C66" s="1061" t="s">
        <v>650</v>
      </c>
      <c r="D66" s="1806" t="s">
        <v>339</v>
      </c>
      <c r="E66" s="1063" t="s">
        <v>981</v>
      </c>
      <c r="F66" s="1064"/>
      <c r="G66" s="1063" t="s">
        <v>660</v>
      </c>
      <c r="H66" s="1065">
        <v>-30731.19</v>
      </c>
      <c r="I66" s="1066" t="s">
        <v>293</v>
      </c>
      <c r="J66" s="1815">
        <f t="shared" si="14"/>
        <v>-30731.19</v>
      </c>
      <c r="K66" s="1776" t="str">
        <f t="shared" si="10"/>
        <v xml:space="preserve"> </v>
      </c>
      <c r="L66" s="1776" t="str">
        <f t="shared" si="11"/>
        <v xml:space="preserve"> </v>
      </c>
      <c r="M66" s="1815" t="str">
        <f t="shared" si="12"/>
        <v xml:space="preserve"> </v>
      </c>
      <c r="N66" s="1815" t="str">
        <f t="shared" si="15"/>
        <v xml:space="preserve"> </v>
      </c>
    </row>
    <row r="67" spans="3:14">
      <c r="C67" s="1061" t="s">
        <v>650</v>
      </c>
      <c r="D67" s="1806" t="s">
        <v>339</v>
      </c>
      <c r="E67" s="1063" t="s">
        <v>982</v>
      </c>
      <c r="F67" s="1064"/>
      <c r="G67" s="1063" t="s">
        <v>661</v>
      </c>
      <c r="H67" s="1065">
        <v>0</v>
      </c>
      <c r="I67" s="1066" t="s">
        <v>293</v>
      </c>
      <c r="J67" s="1815">
        <f t="shared" si="14"/>
        <v>0</v>
      </c>
      <c r="K67" s="1776" t="str">
        <f t="shared" si="10"/>
        <v xml:space="preserve"> </v>
      </c>
      <c r="L67" s="1776" t="str">
        <f t="shared" si="11"/>
        <v xml:space="preserve"> </v>
      </c>
      <c r="M67" s="1815" t="str">
        <f t="shared" si="12"/>
        <v xml:space="preserve"> </v>
      </c>
      <c r="N67" s="1815" t="str">
        <f t="shared" si="15"/>
        <v xml:space="preserve"> </v>
      </c>
    </row>
    <row r="68" spans="3:14">
      <c r="C68" s="1061" t="s">
        <v>650</v>
      </c>
      <c r="D68" s="1806" t="s">
        <v>339</v>
      </c>
      <c r="E68" s="1063" t="s">
        <v>983</v>
      </c>
      <c r="F68" s="1064"/>
      <c r="G68" s="1063" t="s">
        <v>662</v>
      </c>
      <c r="H68" s="1065">
        <v>-1571286.7309999999</v>
      </c>
      <c r="I68" s="1066" t="s">
        <v>293</v>
      </c>
      <c r="J68" s="1815">
        <f t="shared" si="14"/>
        <v>-1571286.7309999999</v>
      </c>
      <c r="K68" s="1776" t="str">
        <f t="shared" si="10"/>
        <v xml:space="preserve"> </v>
      </c>
      <c r="L68" s="1776" t="str">
        <f t="shared" si="11"/>
        <v xml:space="preserve"> </v>
      </c>
      <c r="M68" s="1815" t="str">
        <f t="shared" si="12"/>
        <v xml:space="preserve"> </v>
      </c>
      <c r="N68" s="1815" t="str">
        <f t="shared" si="15"/>
        <v xml:space="preserve"> </v>
      </c>
    </row>
    <row r="69" spans="3:14">
      <c r="C69" s="1061" t="s">
        <v>650</v>
      </c>
      <c r="D69" s="1806" t="s">
        <v>339</v>
      </c>
      <c r="E69" s="1063" t="s">
        <v>984</v>
      </c>
      <c r="F69" s="1064"/>
      <c r="G69" s="1063" t="s">
        <v>663</v>
      </c>
      <c r="H69" s="1065">
        <v>-33701810.099999987</v>
      </c>
      <c r="I69" s="1066" t="s">
        <v>293</v>
      </c>
      <c r="J69" s="1815">
        <f t="shared" si="14"/>
        <v>-33701810.099999987</v>
      </c>
      <c r="K69" s="1776" t="str">
        <f t="shared" si="10"/>
        <v xml:space="preserve"> </v>
      </c>
      <c r="L69" s="1776" t="str">
        <f t="shared" si="11"/>
        <v xml:space="preserve"> </v>
      </c>
      <c r="M69" s="1815" t="str">
        <f t="shared" si="12"/>
        <v xml:space="preserve"> </v>
      </c>
      <c r="N69" s="1815" t="str">
        <f t="shared" si="15"/>
        <v xml:space="preserve"> </v>
      </c>
    </row>
    <row r="70" spans="3:14">
      <c r="C70" s="1061" t="s">
        <v>650</v>
      </c>
      <c r="D70" s="1806" t="s">
        <v>339</v>
      </c>
      <c r="E70" s="1063" t="s">
        <v>985</v>
      </c>
      <c r="F70" s="1064"/>
      <c r="G70" s="1063" t="s">
        <v>664</v>
      </c>
      <c r="H70" s="1065">
        <v>-395493</v>
      </c>
      <c r="I70" s="1066" t="s">
        <v>293</v>
      </c>
      <c r="J70" s="1815">
        <f t="shared" si="14"/>
        <v>-395493</v>
      </c>
      <c r="K70" s="1776" t="str">
        <f t="shared" si="10"/>
        <v xml:space="preserve"> </v>
      </c>
      <c r="L70" s="1776" t="str">
        <f t="shared" si="11"/>
        <v xml:space="preserve"> </v>
      </c>
      <c r="M70" s="1815" t="str">
        <f t="shared" si="12"/>
        <v xml:space="preserve"> </v>
      </c>
      <c r="N70" s="1815" t="str">
        <f t="shared" si="15"/>
        <v xml:space="preserve"> </v>
      </c>
    </row>
    <row r="71" spans="3:14">
      <c r="C71" s="1061" t="s">
        <v>650</v>
      </c>
      <c r="D71" s="1806" t="s">
        <v>339</v>
      </c>
      <c r="E71" s="1063" t="s">
        <v>986</v>
      </c>
      <c r="F71" s="1064"/>
      <c r="G71" s="1063" t="s">
        <v>665</v>
      </c>
      <c r="H71" s="1065">
        <v>1313671.8980000005</v>
      </c>
      <c r="I71" s="1066" t="s">
        <v>293</v>
      </c>
      <c r="J71" s="1815">
        <f t="shared" si="14"/>
        <v>1313671.8980000005</v>
      </c>
      <c r="K71" s="1776" t="str">
        <f t="shared" si="10"/>
        <v xml:space="preserve"> </v>
      </c>
      <c r="L71" s="1776" t="str">
        <f t="shared" si="11"/>
        <v xml:space="preserve"> </v>
      </c>
      <c r="M71" s="1815" t="str">
        <f t="shared" si="12"/>
        <v xml:space="preserve"> </v>
      </c>
      <c r="N71" s="1815" t="str">
        <f t="shared" si="15"/>
        <v xml:space="preserve"> </v>
      </c>
    </row>
    <row r="72" spans="3:14">
      <c r="C72" s="1061" t="s">
        <v>650</v>
      </c>
      <c r="D72" s="1806" t="s">
        <v>339</v>
      </c>
      <c r="E72" s="1063" t="s">
        <v>987</v>
      </c>
      <c r="F72" s="1064"/>
      <c r="G72" s="1063" t="s">
        <v>666</v>
      </c>
      <c r="H72" s="1065">
        <v>-86447.725000000006</v>
      </c>
      <c r="I72" s="1066" t="s">
        <v>293</v>
      </c>
      <c r="J72" s="1815">
        <f t="shared" si="14"/>
        <v>-86447.725000000006</v>
      </c>
      <c r="K72" s="1776" t="str">
        <f t="shared" si="10"/>
        <v xml:space="preserve"> </v>
      </c>
      <c r="L72" s="1776" t="str">
        <f t="shared" si="11"/>
        <v xml:space="preserve"> </v>
      </c>
      <c r="M72" s="1815" t="str">
        <f t="shared" si="12"/>
        <v xml:space="preserve"> </v>
      </c>
      <c r="N72" s="1815" t="str">
        <f t="shared" si="15"/>
        <v xml:space="preserve"> </v>
      </c>
    </row>
    <row r="73" spans="3:14">
      <c r="C73" s="1061" t="s">
        <v>650</v>
      </c>
      <c r="D73" s="1806" t="s">
        <v>339</v>
      </c>
      <c r="E73" s="1063" t="s">
        <v>988</v>
      </c>
      <c r="F73" s="1064"/>
      <c r="G73" s="1063" t="s">
        <v>667</v>
      </c>
      <c r="H73" s="1065">
        <v>-11561.210500000023</v>
      </c>
      <c r="I73" s="1066" t="s">
        <v>293</v>
      </c>
      <c r="J73" s="1815">
        <f t="shared" si="14"/>
        <v>-11561.210500000023</v>
      </c>
      <c r="K73" s="1776" t="str">
        <f t="shared" si="10"/>
        <v xml:space="preserve"> </v>
      </c>
      <c r="L73" s="1776" t="str">
        <f t="shared" si="11"/>
        <v xml:space="preserve"> </v>
      </c>
      <c r="M73" s="1815" t="str">
        <f t="shared" si="12"/>
        <v xml:space="preserve"> </v>
      </c>
      <c r="N73" s="1815" t="str">
        <f t="shared" si="15"/>
        <v xml:space="preserve"> </v>
      </c>
    </row>
    <row r="74" spans="3:14">
      <c r="C74" s="1061" t="s">
        <v>650</v>
      </c>
      <c r="D74" s="1806" t="s">
        <v>339</v>
      </c>
      <c r="E74" s="1063" t="s">
        <v>989</v>
      </c>
      <c r="F74" s="1064"/>
      <c r="G74" s="1063" t="s">
        <v>668</v>
      </c>
      <c r="H74" s="1065">
        <v>6.9999999999999993E-2</v>
      </c>
      <c r="I74" s="1066" t="s">
        <v>293</v>
      </c>
      <c r="J74" s="1815">
        <f t="shared" si="14"/>
        <v>6.9999999999999993E-2</v>
      </c>
      <c r="K74" s="1776" t="str">
        <f t="shared" si="10"/>
        <v xml:space="preserve"> </v>
      </c>
      <c r="L74" s="1776" t="str">
        <f t="shared" si="11"/>
        <v xml:space="preserve"> </v>
      </c>
      <c r="M74" s="1815" t="str">
        <f t="shared" si="12"/>
        <v xml:space="preserve"> </v>
      </c>
      <c r="N74" s="1815" t="str">
        <f t="shared" si="15"/>
        <v xml:space="preserve"> </v>
      </c>
    </row>
    <row r="75" spans="3:14">
      <c r="C75" s="1061" t="s">
        <v>650</v>
      </c>
      <c r="D75" s="1806" t="s">
        <v>339</v>
      </c>
      <c r="E75" s="1063" t="s">
        <v>990</v>
      </c>
      <c r="F75" s="1064"/>
      <c r="G75" s="1063" t="s">
        <v>669</v>
      </c>
      <c r="H75" s="1065">
        <v>-0.10149999999999999</v>
      </c>
      <c r="I75" s="1066" t="s">
        <v>293</v>
      </c>
      <c r="J75" s="1815">
        <f t="shared" si="14"/>
        <v>-0.10149999999999999</v>
      </c>
      <c r="K75" s="1776" t="str">
        <f t="shared" si="10"/>
        <v xml:space="preserve"> </v>
      </c>
      <c r="L75" s="1776" t="str">
        <f t="shared" si="11"/>
        <v xml:space="preserve"> </v>
      </c>
      <c r="M75" s="1815" t="str">
        <f t="shared" si="12"/>
        <v xml:space="preserve"> </v>
      </c>
      <c r="N75" s="1815" t="str">
        <f t="shared" si="15"/>
        <v xml:space="preserve"> </v>
      </c>
    </row>
    <row r="76" spans="3:14">
      <c r="C76" s="1061" t="s">
        <v>650</v>
      </c>
      <c r="D76" s="1806" t="s">
        <v>339</v>
      </c>
      <c r="E76" s="1063" t="s">
        <v>991</v>
      </c>
      <c r="F76" s="1064"/>
      <c r="G76" s="1063" t="s">
        <v>670</v>
      </c>
      <c r="H76" s="1065">
        <v>-164526.08550000007</v>
      </c>
      <c r="I76" s="1066" t="s">
        <v>293</v>
      </c>
      <c r="J76" s="1815">
        <f t="shared" si="14"/>
        <v>-164526.08550000007</v>
      </c>
      <c r="K76" s="1776" t="str">
        <f t="shared" si="10"/>
        <v xml:space="preserve"> </v>
      </c>
      <c r="L76" s="1776" t="str">
        <f t="shared" si="11"/>
        <v xml:space="preserve"> </v>
      </c>
      <c r="M76" s="1815" t="str">
        <f t="shared" si="12"/>
        <v xml:space="preserve"> </v>
      </c>
      <c r="N76" s="1815" t="str">
        <f t="shared" si="15"/>
        <v xml:space="preserve"> </v>
      </c>
    </row>
    <row r="77" spans="3:14">
      <c r="C77" s="1061" t="s">
        <v>650</v>
      </c>
      <c r="D77" s="1806" t="s">
        <v>339</v>
      </c>
      <c r="E77" s="1063" t="s">
        <v>992</v>
      </c>
      <c r="F77" s="1064"/>
      <c r="G77" s="1063" t="s">
        <v>671</v>
      </c>
      <c r="H77" s="1065">
        <v>-0.105</v>
      </c>
      <c r="I77" s="1066" t="s">
        <v>293</v>
      </c>
      <c r="J77" s="1815">
        <f t="shared" si="14"/>
        <v>-0.105</v>
      </c>
      <c r="K77" s="1776" t="str">
        <f t="shared" si="10"/>
        <v xml:space="preserve"> </v>
      </c>
      <c r="L77" s="1776" t="str">
        <f t="shared" si="11"/>
        <v xml:space="preserve"> </v>
      </c>
      <c r="M77" s="1815" t="str">
        <f t="shared" si="12"/>
        <v xml:space="preserve"> </v>
      </c>
      <c r="N77" s="1815" t="str">
        <f t="shared" si="15"/>
        <v xml:space="preserve"> </v>
      </c>
    </row>
    <row r="78" spans="3:14">
      <c r="C78" s="1061" t="s">
        <v>650</v>
      </c>
      <c r="D78" s="1806" t="s">
        <v>339</v>
      </c>
      <c r="E78" s="1063" t="s">
        <v>993</v>
      </c>
      <c r="F78" s="1064"/>
      <c r="G78" s="1063" t="s">
        <v>672</v>
      </c>
      <c r="H78" s="1065">
        <v>-19234.088999999993</v>
      </c>
      <c r="I78" s="1066" t="s">
        <v>293</v>
      </c>
      <c r="J78" s="1815">
        <f t="shared" si="14"/>
        <v>-19234.088999999993</v>
      </c>
      <c r="K78" s="1776" t="str">
        <f t="shared" si="10"/>
        <v xml:space="preserve"> </v>
      </c>
      <c r="L78" s="1776" t="str">
        <f t="shared" si="11"/>
        <v xml:space="preserve"> </v>
      </c>
      <c r="M78" s="1815" t="str">
        <f t="shared" si="12"/>
        <v xml:space="preserve"> </v>
      </c>
      <c r="N78" s="1815" t="str">
        <f t="shared" si="15"/>
        <v xml:space="preserve"> </v>
      </c>
    </row>
    <row r="79" spans="3:14">
      <c r="C79" s="1061" t="s">
        <v>650</v>
      </c>
      <c r="D79" s="1806"/>
      <c r="E79" s="1063" t="s">
        <v>1425</v>
      </c>
      <c r="F79" s="1064"/>
      <c r="G79" s="1126" t="s">
        <v>1426</v>
      </c>
      <c r="H79" s="1065">
        <v>-1431346.4509999999</v>
      </c>
      <c r="I79" s="1066" t="s">
        <v>293</v>
      </c>
      <c r="J79" s="1815">
        <f t="shared" si="14"/>
        <v>-1431346.4509999999</v>
      </c>
      <c r="K79" s="1776" t="str">
        <f t="shared" si="10"/>
        <v xml:space="preserve"> </v>
      </c>
      <c r="L79" s="1776" t="str">
        <f t="shared" si="11"/>
        <v xml:space="preserve"> </v>
      </c>
      <c r="M79" s="1815" t="str">
        <f t="shared" si="12"/>
        <v xml:space="preserve"> </v>
      </c>
      <c r="N79" s="1815" t="str">
        <f t="shared" si="15"/>
        <v xml:space="preserve"> </v>
      </c>
    </row>
    <row r="80" spans="3:14">
      <c r="C80" s="1061" t="s">
        <v>650</v>
      </c>
      <c r="D80" s="1806" t="s">
        <v>339</v>
      </c>
      <c r="E80" s="1063" t="s">
        <v>994</v>
      </c>
      <c r="F80" s="1064"/>
      <c r="G80" s="1063" t="s">
        <v>673</v>
      </c>
      <c r="H80" s="1065">
        <v>-1142540.9024999996</v>
      </c>
      <c r="I80" s="1066" t="s">
        <v>293</v>
      </c>
      <c r="J80" s="1815">
        <f t="shared" si="14"/>
        <v>-1142540.9024999996</v>
      </c>
      <c r="K80" s="1776" t="str">
        <f t="shared" si="10"/>
        <v xml:space="preserve"> </v>
      </c>
      <c r="L80" s="1776" t="str">
        <f t="shared" si="11"/>
        <v xml:space="preserve"> </v>
      </c>
      <c r="M80" s="1815" t="str">
        <f t="shared" si="12"/>
        <v xml:space="preserve"> </v>
      </c>
      <c r="N80" s="1815" t="str">
        <f t="shared" si="15"/>
        <v xml:space="preserve"> </v>
      </c>
    </row>
    <row r="81" spans="3:14">
      <c r="C81" s="1061" t="s">
        <v>650</v>
      </c>
      <c r="D81" s="1806" t="s">
        <v>339</v>
      </c>
      <c r="E81" s="1063" t="s">
        <v>995</v>
      </c>
      <c r="F81" s="1064"/>
      <c r="G81" s="1063" t="s">
        <v>674</v>
      </c>
      <c r="H81" s="1065">
        <v>-94479.244999999879</v>
      </c>
      <c r="I81" s="1066" t="s">
        <v>293</v>
      </c>
      <c r="J81" s="1815">
        <f t="shared" si="14"/>
        <v>-94479.244999999879</v>
      </c>
      <c r="K81" s="1776" t="str">
        <f t="shared" si="10"/>
        <v xml:space="preserve"> </v>
      </c>
      <c r="L81" s="1776" t="str">
        <f t="shared" si="11"/>
        <v xml:space="preserve"> </v>
      </c>
      <c r="M81" s="1815" t="str">
        <f t="shared" si="12"/>
        <v xml:space="preserve"> </v>
      </c>
      <c r="N81" s="1815" t="str">
        <f t="shared" si="15"/>
        <v xml:space="preserve"> </v>
      </c>
    </row>
    <row r="82" spans="3:14">
      <c r="C82" s="1061" t="s">
        <v>650</v>
      </c>
      <c r="D82" s="1806" t="s">
        <v>339</v>
      </c>
      <c r="E82" s="1063" t="s">
        <v>996</v>
      </c>
      <c r="F82" s="1064"/>
      <c r="G82" s="1063" t="s">
        <v>675</v>
      </c>
      <c r="H82" s="1065">
        <v>-742971.79949999996</v>
      </c>
      <c r="I82" s="1066" t="s">
        <v>293</v>
      </c>
      <c r="J82" s="1815">
        <f t="shared" si="14"/>
        <v>-742971.79949999996</v>
      </c>
      <c r="K82" s="1776" t="str">
        <f t="shared" si="10"/>
        <v xml:space="preserve"> </v>
      </c>
      <c r="L82" s="1776" t="str">
        <f t="shared" si="11"/>
        <v xml:space="preserve"> </v>
      </c>
      <c r="M82" s="1815" t="str">
        <f t="shared" si="12"/>
        <v xml:space="preserve"> </v>
      </c>
      <c r="N82" s="1815" t="str">
        <f t="shared" si="15"/>
        <v xml:space="preserve"> </v>
      </c>
    </row>
    <row r="83" spans="3:14">
      <c r="C83" s="1061" t="s">
        <v>650</v>
      </c>
      <c r="D83" s="1806" t="s">
        <v>339</v>
      </c>
      <c r="E83" s="1063" t="s">
        <v>997</v>
      </c>
      <c r="F83" s="1064"/>
      <c r="G83" s="1063" t="s">
        <v>676</v>
      </c>
      <c r="H83" s="1065">
        <v>-193063.90949999995</v>
      </c>
      <c r="I83" s="1066" t="s">
        <v>293</v>
      </c>
      <c r="J83" s="1815">
        <f t="shared" si="14"/>
        <v>-193063.90949999995</v>
      </c>
      <c r="K83" s="1776" t="str">
        <f t="shared" si="10"/>
        <v xml:space="preserve"> </v>
      </c>
      <c r="L83" s="1776" t="str">
        <f t="shared" si="11"/>
        <v xml:space="preserve"> </v>
      </c>
      <c r="M83" s="1815" t="str">
        <f t="shared" si="12"/>
        <v xml:space="preserve"> </v>
      </c>
      <c r="N83" s="1815" t="str">
        <f t="shared" si="15"/>
        <v xml:space="preserve"> </v>
      </c>
    </row>
    <row r="84" spans="3:14">
      <c r="C84" s="1061" t="s">
        <v>650</v>
      </c>
      <c r="D84" s="1806" t="s">
        <v>339</v>
      </c>
      <c r="E84" s="1063" t="s">
        <v>998</v>
      </c>
      <c r="F84" s="1064"/>
      <c r="G84" s="1063" t="s">
        <v>677</v>
      </c>
      <c r="H84" s="1065">
        <v>-8244439.3779999986</v>
      </c>
      <c r="I84" s="1066" t="s">
        <v>293</v>
      </c>
      <c r="J84" s="1815">
        <f t="shared" si="14"/>
        <v>-8244439.3779999986</v>
      </c>
      <c r="K84" s="1776" t="str">
        <f t="shared" si="10"/>
        <v xml:space="preserve"> </v>
      </c>
      <c r="L84" s="1776" t="str">
        <f t="shared" si="11"/>
        <v xml:space="preserve"> </v>
      </c>
      <c r="M84" s="1815" t="str">
        <f t="shared" si="12"/>
        <v xml:space="preserve"> </v>
      </c>
      <c r="N84" s="1815" t="str">
        <f t="shared" si="15"/>
        <v xml:space="preserve"> </v>
      </c>
    </row>
    <row r="85" spans="3:14">
      <c r="C85" s="1061" t="s">
        <v>650</v>
      </c>
      <c r="D85" s="1806" t="s">
        <v>339</v>
      </c>
      <c r="E85" s="1063" t="s">
        <v>999</v>
      </c>
      <c r="F85" s="1064"/>
      <c r="G85" s="1063" t="s">
        <v>678</v>
      </c>
      <c r="H85" s="1065">
        <v>2883671.6474999986</v>
      </c>
      <c r="I85" s="1066" t="s">
        <v>293</v>
      </c>
      <c r="J85" s="1815">
        <f t="shared" si="14"/>
        <v>2883671.6474999986</v>
      </c>
      <c r="K85" s="1776" t="str">
        <f t="shared" si="10"/>
        <v xml:space="preserve"> </v>
      </c>
      <c r="L85" s="1776" t="str">
        <f t="shared" si="11"/>
        <v xml:space="preserve"> </v>
      </c>
      <c r="M85" s="1815" t="str">
        <f t="shared" si="12"/>
        <v xml:space="preserve"> </v>
      </c>
      <c r="N85" s="1815" t="str">
        <f t="shared" si="15"/>
        <v xml:space="preserve"> </v>
      </c>
    </row>
    <row r="86" spans="3:14">
      <c r="C86" s="1061" t="s">
        <v>650</v>
      </c>
      <c r="D86" s="1806"/>
      <c r="E86" s="1063" t="s">
        <v>1427</v>
      </c>
      <c r="F86" s="1064"/>
      <c r="G86" s="1126" t="s">
        <v>1430</v>
      </c>
      <c r="H86" s="1065">
        <v>-1652053.1474999997</v>
      </c>
      <c r="I86" s="1066" t="s">
        <v>293</v>
      </c>
      <c r="J86" s="1815">
        <f t="shared" si="14"/>
        <v>-1652053.1474999997</v>
      </c>
      <c r="K86" s="1776" t="str">
        <f t="shared" si="10"/>
        <v xml:space="preserve"> </v>
      </c>
      <c r="L86" s="1776" t="str">
        <f t="shared" si="11"/>
        <v xml:space="preserve"> </v>
      </c>
      <c r="M86" s="1815" t="str">
        <f t="shared" si="12"/>
        <v xml:space="preserve"> </v>
      </c>
      <c r="N86" s="1815" t="str">
        <f t="shared" si="15"/>
        <v xml:space="preserve"> </v>
      </c>
    </row>
    <row r="87" spans="3:14">
      <c r="C87" s="1061" t="s">
        <v>650</v>
      </c>
      <c r="D87" s="1806"/>
      <c r="E87" s="1063" t="s">
        <v>1428</v>
      </c>
      <c r="F87" s="1064"/>
      <c r="G87" s="1126" t="s">
        <v>1431</v>
      </c>
      <c r="H87" s="1065">
        <v>36002.662499999999</v>
      </c>
      <c r="I87" s="1066" t="s">
        <v>293</v>
      </c>
      <c r="J87" s="1815">
        <f t="shared" si="14"/>
        <v>36002.662499999999</v>
      </c>
      <c r="K87" s="1776" t="str">
        <f t="shared" si="10"/>
        <v xml:space="preserve"> </v>
      </c>
      <c r="L87" s="1776" t="str">
        <f t="shared" si="11"/>
        <v xml:space="preserve"> </v>
      </c>
      <c r="M87" s="1815" t="str">
        <f t="shared" si="12"/>
        <v xml:space="preserve"> </v>
      </c>
      <c r="N87" s="1815" t="str">
        <f t="shared" si="15"/>
        <v xml:space="preserve"> </v>
      </c>
    </row>
    <row r="88" spans="3:14">
      <c r="C88" s="1061" t="s">
        <v>650</v>
      </c>
      <c r="D88" s="1806"/>
      <c r="E88" s="1063" t="s">
        <v>1429</v>
      </c>
      <c r="F88" s="1064"/>
      <c r="G88" s="1126" t="s">
        <v>1432</v>
      </c>
      <c r="H88" s="1065">
        <v>-6151846.8725000005</v>
      </c>
      <c r="I88" s="1066" t="s">
        <v>293</v>
      </c>
      <c r="J88" s="1815">
        <f t="shared" si="14"/>
        <v>-6151846.8725000005</v>
      </c>
      <c r="K88" s="1776" t="str">
        <f t="shared" si="10"/>
        <v xml:space="preserve"> </v>
      </c>
      <c r="L88" s="1776" t="str">
        <f t="shared" si="11"/>
        <v xml:space="preserve"> </v>
      </c>
      <c r="M88" s="1815" t="str">
        <f t="shared" si="12"/>
        <v xml:space="preserve"> </v>
      </c>
      <c r="N88" s="1815" t="str">
        <f t="shared" si="15"/>
        <v xml:space="preserve"> </v>
      </c>
    </row>
    <row r="89" spans="3:14">
      <c r="C89" s="1061" t="s">
        <v>650</v>
      </c>
      <c r="D89" s="1806"/>
      <c r="E89" s="1063" t="s">
        <v>1433</v>
      </c>
      <c r="F89" s="1064"/>
      <c r="G89" s="1126" t="s">
        <v>1434</v>
      </c>
      <c r="H89" s="1065">
        <v>-177867.80900000001</v>
      </c>
      <c r="I89" s="1066" t="s">
        <v>293</v>
      </c>
      <c r="J89" s="1815">
        <f t="shared" si="14"/>
        <v>-177867.80900000001</v>
      </c>
      <c r="K89" s="1776" t="str">
        <f t="shared" si="10"/>
        <v xml:space="preserve"> </v>
      </c>
      <c r="L89" s="1776" t="str">
        <f t="shared" si="11"/>
        <v xml:space="preserve"> </v>
      </c>
      <c r="M89" s="1815" t="str">
        <f t="shared" si="12"/>
        <v xml:space="preserve"> </v>
      </c>
      <c r="N89" s="1815" t="str">
        <f t="shared" si="15"/>
        <v xml:space="preserve"> </v>
      </c>
    </row>
    <row r="90" spans="3:14">
      <c r="C90" s="1061" t="s">
        <v>650</v>
      </c>
      <c r="D90" s="1806" t="s">
        <v>339</v>
      </c>
      <c r="E90" s="1063" t="s">
        <v>1000</v>
      </c>
      <c r="F90" s="1064"/>
      <c r="G90" s="1063" t="s">
        <v>679</v>
      </c>
      <c r="H90" s="1065">
        <v>-1631220.2600000002</v>
      </c>
      <c r="I90" s="1066" t="s">
        <v>160</v>
      </c>
      <c r="J90" s="1815" t="str">
        <f t="shared" si="14"/>
        <v xml:space="preserve"> </v>
      </c>
      <c r="K90" s="1776" t="str">
        <f t="shared" si="10"/>
        <v xml:space="preserve"> </v>
      </c>
      <c r="L90" s="1776">
        <f t="shared" si="11"/>
        <v>-1631220.2600000002</v>
      </c>
      <c r="M90" s="1815" t="str">
        <f t="shared" si="12"/>
        <v xml:space="preserve"> </v>
      </c>
      <c r="N90" s="1815" t="str">
        <f t="shared" si="15"/>
        <v xml:space="preserve"> </v>
      </c>
    </row>
    <row r="91" spans="3:14">
      <c r="C91" s="1061" t="s">
        <v>650</v>
      </c>
      <c r="D91" s="1806" t="s">
        <v>339</v>
      </c>
      <c r="E91" s="1063" t="s">
        <v>1001</v>
      </c>
      <c r="F91" s="1064"/>
      <c r="G91" s="1063" t="s">
        <v>680</v>
      </c>
      <c r="H91" s="1065">
        <v>7004.6420000000007</v>
      </c>
      <c r="I91" s="1066" t="s">
        <v>160</v>
      </c>
      <c r="J91" s="1815" t="str">
        <f t="shared" si="14"/>
        <v xml:space="preserve"> </v>
      </c>
      <c r="K91" s="1776" t="str">
        <f t="shared" si="10"/>
        <v xml:space="preserve"> </v>
      </c>
      <c r="L91" s="1776">
        <f t="shared" si="11"/>
        <v>7004.6420000000007</v>
      </c>
      <c r="M91" s="1815" t="str">
        <f t="shared" si="12"/>
        <v xml:space="preserve"> </v>
      </c>
      <c r="N91" s="1815" t="str">
        <f t="shared" si="15"/>
        <v xml:space="preserve"> </v>
      </c>
    </row>
    <row r="92" spans="3:14">
      <c r="C92" s="1061" t="s">
        <v>650</v>
      </c>
      <c r="D92" s="1806" t="s">
        <v>339</v>
      </c>
      <c r="E92" s="1063" t="s">
        <v>1002</v>
      </c>
      <c r="F92" s="1064"/>
      <c r="G92" s="1063" t="s">
        <v>681</v>
      </c>
      <c r="H92" s="1065">
        <v>-8497277.0250000004</v>
      </c>
      <c r="I92" s="1066" t="s">
        <v>302</v>
      </c>
      <c r="J92" s="1815" t="str">
        <f t="shared" si="14"/>
        <v xml:space="preserve"> </v>
      </c>
      <c r="K92" s="1776" t="str">
        <f t="shared" si="10"/>
        <v xml:space="preserve"> </v>
      </c>
      <c r="L92" s="1776" t="str">
        <f t="shared" si="11"/>
        <v xml:space="preserve"> </v>
      </c>
      <c r="M92" s="1815" t="str">
        <f t="shared" si="12"/>
        <v xml:space="preserve"> </v>
      </c>
      <c r="N92" s="1815">
        <f t="shared" si="15"/>
        <v>-8497277.0250000004</v>
      </c>
    </row>
    <row r="93" spans="3:14">
      <c r="C93" s="1061" t="s">
        <v>650</v>
      </c>
      <c r="D93" s="1806" t="s">
        <v>339</v>
      </c>
      <c r="E93" s="1063" t="s">
        <v>1003</v>
      </c>
      <c r="F93" s="1064"/>
      <c r="G93" s="1063" t="s">
        <v>682</v>
      </c>
      <c r="H93" s="1065">
        <v>5735184.8609999996</v>
      </c>
      <c r="I93" s="1066" t="s">
        <v>302</v>
      </c>
      <c r="J93" s="1815" t="str">
        <f t="shared" si="14"/>
        <v xml:space="preserve"> </v>
      </c>
      <c r="K93" s="1776" t="str">
        <f t="shared" si="10"/>
        <v xml:space="preserve"> </v>
      </c>
      <c r="L93" s="1776" t="str">
        <f t="shared" si="11"/>
        <v xml:space="preserve"> </v>
      </c>
      <c r="M93" s="1815" t="str">
        <f t="shared" si="12"/>
        <v xml:space="preserve"> </v>
      </c>
      <c r="N93" s="1815">
        <f t="shared" si="15"/>
        <v>5735184.8609999996</v>
      </c>
    </row>
    <row r="94" spans="3:14">
      <c r="C94" s="1061" t="s">
        <v>650</v>
      </c>
      <c r="D94" s="1806" t="s">
        <v>339</v>
      </c>
      <c r="E94" s="1063" t="s">
        <v>1004</v>
      </c>
      <c r="F94" s="1064"/>
      <c r="G94" s="1063" t="s">
        <v>683</v>
      </c>
      <c r="H94" s="1065">
        <v>1726929.6245000002</v>
      </c>
      <c r="I94" s="1066" t="s">
        <v>302</v>
      </c>
      <c r="J94" s="1815" t="str">
        <f t="shared" si="14"/>
        <v xml:space="preserve"> </v>
      </c>
      <c r="K94" s="1776" t="str">
        <f t="shared" si="10"/>
        <v xml:space="preserve"> </v>
      </c>
      <c r="L94" s="1776" t="str">
        <f t="shared" si="11"/>
        <v xml:space="preserve"> </v>
      </c>
      <c r="M94" s="1815" t="str">
        <f t="shared" si="12"/>
        <v xml:space="preserve"> </v>
      </c>
      <c r="N94" s="1815">
        <f t="shared" si="15"/>
        <v>1726929.6245000002</v>
      </c>
    </row>
    <row r="95" spans="3:14">
      <c r="C95" s="1061" t="s">
        <v>650</v>
      </c>
      <c r="D95" s="1806" t="s">
        <v>339</v>
      </c>
      <c r="E95" s="1063" t="s">
        <v>1005</v>
      </c>
      <c r="F95" s="1064"/>
      <c r="G95" s="1063" t="s">
        <v>684</v>
      </c>
      <c r="H95" s="1065">
        <v>-1306608.6014999999</v>
      </c>
      <c r="I95" s="1066" t="s">
        <v>302</v>
      </c>
      <c r="J95" s="1815" t="str">
        <f t="shared" si="14"/>
        <v xml:space="preserve"> </v>
      </c>
      <c r="K95" s="1776" t="str">
        <f t="shared" si="10"/>
        <v xml:space="preserve"> </v>
      </c>
      <c r="L95" s="1776" t="str">
        <f t="shared" si="11"/>
        <v xml:space="preserve"> </v>
      </c>
      <c r="M95" s="1815" t="str">
        <f t="shared" si="12"/>
        <v xml:space="preserve"> </v>
      </c>
      <c r="N95" s="1815">
        <f t="shared" si="15"/>
        <v>-1306608.6014999999</v>
      </c>
    </row>
    <row r="96" spans="3:14">
      <c r="C96" s="1061" t="s">
        <v>650</v>
      </c>
      <c r="D96" s="1806"/>
      <c r="E96" s="1063" t="s">
        <v>1006</v>
      </c>
      <c r="F96" s="1064"/>
      <c r="G96" s="1063" t="s">
        <v>685</v>
      </c>
      <c r="H96" s="1065">
        <v>7.0000000000000007E-2</v>
      </c>
      <c r="I96" s="1066" t="s">
        <v>293</v>
      </c>
      <c r="J96" s="1815">
        <f t="shared" si="14"/>
        <v>7.0000000000000007E-2</v>
      </c>
      <c r="K96" s="1776" t="str">
        <f t="shared" si="10"/>
        <v xml:space="preserve"> </v>
      </c>
      <c r="L96" s="1776" t="str">
        <f t="shared" si="11"/>
        <v xml:space="preserve"> </v>
      </c>
      <c r="M96" s="1815" t="str">
        <f t="shared" si="12"/>
        <v xml:space="preserve"> </v>
      </c>
      <c r="N96" s="1815" t="str">
        <f t="shared" si="15"/>
        <v xml:space="preserve"> </v>
      </c>
    </row>
    <row r="97" spans="3:17">
      <c r="C97" s="1061" t="s">
        <v>650</v>
      </c>
      <c r="D97" s="1806"/>
      <c r="E97" s="1063" t="s">
        <v>1007</v>
      </c>
      <c r="F97" s="1064"/>
      <c r="G97" s="1063" t="s">
        <v>686</v>
      </c>
      <c r="H97" s="1065">
        <v>2884305.2320000008</v>
      </c>
      <c r="I97" s="1066" t="s">
        <v>293</v>
      </c>
      <c r="J97" s="1815">
        <f t="shared" si="14"/>
        <v>2884305.2320000008</v>
      </c>
      <c r="K97" s="1776" t="str">
        <f t="shared" si="10"/>
        <v xml:space="preserve"> </v>
      </c>
      <c r="L97" s="1776" t="str">
        <f t="shared" si="11"/>
        <v xml:space="preserve"> </v>
      </c>
      <c r="M97" s="1815" t="str">
        <f t="shared" si="12"/>
        <v xml:space="preserve"> </v>
      </c>
      <c r="N97" s="1815" t="str">
        <f t="shared" si="15"/>
        <v xml:space="preserve"> </v>
      </c>
    </row>
    <row r="98" spans="3:17">
      <c r="C98" s="1061" t="s">
        <v>650</v>
      </c>
      <c r="D98" s="1806"/>
      <c r="E98" s="1063" t="s">
        <v>1008</v>
      </c>
      <c r="F98" s="1064"/>
      <c r="G98" s="1063" t="s">
        <v>687</v>
      </c>
      <c r="H98" s="1065">
        <v>-3521895.3</v>
      </c>
      <c r="I98" s="1066" t="s">
        <v>293</v>
      </c>
      <c r="J98" s="1815">
        <f t="shared" si="14"/>
        <v>-3521895.3</v>
      </c>
      <c r="K98" s="1776" t="str">
        <f t="shared" si="10"/>
        <v xml:space="preserve"> </v>
      </c>
      <c r="L98" s="1776" t="str">
        <f t="shared" si="11"/>
        <v xml:space="preserve"> </v>
      </c>
      <c r="M98" s="1815" t="str">
        <f t="shared" si="12"/>
        <v xml:space="preserve"> </v>
      </c>
      <c r="N98" s="1815" t="str">
        <f t="shared" si="15"/>
        <v xml:space="preserve"> </v>
      </c>
    </row>
    <row r="99" spans="3:17">
      <c r="C99" s="1061" t="s">
        <v>650</v>
      </c>
      <c r="D99" s="1806"/>
      <c r="E99" s="1063" t="s">
        <v>1009</v>
      </c>
      <c r="F99" s="1064"/>
      <c r="G99" s="1063" t="s">
        <v>688</v>
      </c>
      <c r="H99" s="1065">
        <v>-2704.9994999999999</v>
      </c>
      <c r="I99" s="1066" t="s">
        <v>293</v>
      </c>
      <c r="J99" s="1815">
        <f t="shared" si="14"/>
        <v>-2704.9994999999999</v>
      </c>
      <c r="K99" s="1776" t="str">
        <f t="shared" si="10"/>
        <v xml:space="preserve"> </v>
      </c>
      <c r="L99" s="1776" t="str">
        <f t="shared" si="11"/>
        <v xml:space="preserve"> </v>
      </c>
      <c r="M99" s="1815" t="str">
        <f t="shared" si="12"/>
        <v xml:space="preserve"> </v>
      </c>
      <c r="N99" s="1815" t="str">
        <f t="shared" si="15"/>
        <v xml:space="preserve"> </v>
      </c>
    </row>
    <row r="100" spans="3:17">
      <c r="C100" s="1061"/>
      <c r="D100" s="1806"/>
      <c r="E100" s="1063"/>
      <c r="F100" s="1064"/>
      <c r="G100" s="1063"/>
      <c r="H100" s="1065"/>
      <c r="I100" s="1066"/>
      <c r="J100" s="1815" t="str">
        <f>IF(I100="e",H99," ")</f>
        <v xml:space="preserve"> </v>
      </c>
      <c r="K100" s="1776" t="str">
        <f>IF($I100="T",$H99," ")</f>
        <v xml:space="preserve"> </v>
      </c>
      <c r="L100" s="1776" t="str">
        <f>IF($I100="PTD",$H99," ")</f>
        <v xml:space="preserve"> </v>
      </c>
      <c r="M100" s="1815" t="str">
        <f>IF($I100="T&amp;D",$H99," ")</f>
        <v xml:space="preserve"> </v>
      </c>
      <c r="N100" s="1815" t="str">
        <f>IF(I100="Labor",H99," ")</f>
        <v xml:space="preserve"> </v>
      </c>
    </row>
    <row r="101" spans="3:17">
      <c r="C101" s="1083">
        <v>2831002</v>
      </c>
      <c r="D101" s="1806" t="s">
        <v>339</v>
      </c>
      <c r="E101" s="1063" t="s">
        <v>1010</v>
      </c>
      <c r="F101" s="1064"/>
      <c r="G101" s="1063" t="s">
        <v>1011</v>
      </c>
      <c r="H101" s="1065">
        <v>0</v>
      </c>
      <c r="I101" s="1066" t="s">
        <v>160</v>
      </c>
      <c r="J101" s="1815" t="str">
        <f t="shared" ref="J101:J106" si="16">IF(I101="e",H101," ")</f>
        <v xml:space="preserve"> </v>
      </c>
      <c r="K101" s="1776" t="str">
        <f t="shared" ref="K101:K106" si="17">IF($I101="T",$H101," ")</f>
        <v xml:space="preserve"> </v>
      </c>
      <c r="L101" s="1776">
        <f t="shared" ref="L101:L106" si="18">IF($I101="PTD",$H101," ")</f>
        <v>0</v>
      </c>
      <c r="M101" s="1815" t="str">
        <f t="shared" ref="M101:M106" si="19">IF($I101="T&amp;D",$H101," ")</f>
        <v xml:space="preserve"> </v>
      </c>
      <c r="N101" s="1815" t="str">
        <f t="shared" ref="N101:N106" si="20">IF(I101="Labor",H101," ")</f>
        <v xml:space="preserve"> </v>
      </c>
    </row>
    <row r="102" spans="3:17">
      <c r="C102" s="1083">
        <v>2831001</v>
      </c>
      <c r="D102" s="753"/>
      <c r="E102" s="1063" t="s">
        <v>826</v>
      </c>
      <c r="F102" s="700"/>
      <c r="G102" s="1063" t="s">
        <v>1272</v>
      </c>
      <c r="H102" s="1065">
        <v>0</v>
      </c>
      <c r="I102" s="1066" t="s">
        <v>1271</v>
      </c>
      <c r="J102" s="1065">
        <f>+'SWEPCO WS C-4 Excess FIT'!G23</f>
        <v>0</v>
      </c>
      <c r="K102" s="1065">
        <f>+'SWEPCO WS C-4 Excess FIT'!G22</f>
        <v>0</v>
      </c>
      <c r="L102" s="1776"/>
      <c r="M102" s="1815"/>
      <c r="N102" s="1815"/>
    </row>
    <row r="103" spans="3:17" s="1114" customFormat="1">
      <c r="C103" s="1118"/>
      <c r="D103" s="1821"/>
      <c r="E103" s="1120"/>
      <c r="F103" s="1121"/>
      <c r="G103" s="1122"/>
      <c r="H103" s="1123"/>
      <c r="I103" s="1124"/>
      <c r="J103" s="1822"/>
      <c r="K103" s="1113"/>
      <c r="L103" s="1113"/>
      <c r="M103" s="1818"/>
      <c r="N103" s="1818"/>
      <c r="Q103" s="2422"/>
    </row>
    <row r="104" spans="3:17">
      <c r="C104" s="1061"/>
      <c r="D104" s="753"/>
      <c r="E104" s="1063"/>
      <c r="F104" s="700"/>
      <c r="G104" s="1063"/>
      <c r="H104" s="1065"/>
      <c r="I104" s="1066"/>
      <c r="J104" s="1815"/>
      <c r="K104" s="1776"/>
      <c r="L104" s="1776"/>
      <c r="M104" s="1815"/>
      <c r="N104" s="1815"/>
    </row>
    <row r="105" spans="3:17">
      <c r="C105" s="1061"/>
      <c r="D105" s="753"/>
      <c r="E105" s="1063"/>
      <c r="F105" s="700"/>
      <c r="G105" s="1063"/>
      <c r="H105" s="1065"/>
      <c r="I105" s="1066"/>
      <c r="J105" s="1065"/>
      <c r="K105" s="1065"/>
      <c r="L105" s="1065"/>
      <c r="M105" s="1065"/>
      <c r="N105" s="1065"/>
    </row>
    <row r="106" spans="3:17">
      <c r="C106" s="1092"/>
      <c r="D106" s="739"/>
      <c r="E106" s="1061"/>
      <c r="F106" s="1061"/>
      <c r="G106" s="1061"/>
      <c r="H106" s="1126"/>
      <c r="I106" s="1127"/>
      <c r="J106" s="1815" t="str">
        <f t="shared" si="16"/>
        <v xml:space="preserve"> </v>
      </c>
      <c r="K106" s="1776" t="str">
        <f t="shared" si="17"/>
        <v xml:space="preserve"> </v>
      </c>
      <c r="L106" s="1776" t="str">
        <f t="shared" si="18"/>
        <v xml:space="preserve"> </v>
      </c>
      <c r="M106" s="1815" t="str">
        <f t="shared" si="19"/>
        <v xml:space="preserve"> </v>
      </c>
      <c r="N106" s="1815" t="str">
        <f t="shared" si="20"/>
        <v xml:space="preserve"> </v>
      </c>
    </row>
    <row r="107" spans="3:17">
      <c r="D107" s="791"/>
      <c r="H107" s="1776"/>
      <c r="I107" s="1776"/>
      <c r="J107" s="1805" t="str">
        <f>IF(I107="e",H107," ")</f>
        <v xml:space="preserve"> </v>
      </c>
      <c r="K107" s="1805"/>
      <c r="L107" s="1805" t="str">
        <f>IF($I107="PTD",$H107," ")</f>
        <v xml:space="preserve"> </v>
      </c>
      <c r="M107" s="1805" t="str">
        <f>IF($I107="T&amp;D",$H107," ")</f>
        <v xml:space="preserve"> </v>
      </c>
      <c r="N107" s="1805" t="str">
        <f>IF(I107="Labor",H107," ")</f>
        <v xml:space="preserve"> </v>
      </c>
    </row>
    <row r="108" spans="3:17">
      <c r="C108" s="1116">
        <v>283.10000000000002</v>
      </c>
      <c r="D108" s="791"/>
      <c r="G108" s="1077" t="s">
        <v>161</v>
      </c>
      <c r="H108" s="1093">
        <f>SUM(H54:H107)</f>
        <v>-72816094.859999999</v>
      </c>
      <c r="I108" s="1776"/>
      <c r="J108" s="1078">
        <f>SUM(J54:J107)</f>
        <v>-38487688.431999996</v>
      </c>
      <c r="K108" s="1078">
        <f>SUM(K54:K107)</f>
        <v>0</v>
      </c>
      <c r="L108" s="1078">
        <f>SUM(L54:L107)</f>
        <v>-1624208.6075000002</v>
      </c>
      <c r="M108" s="1078">
        <f>SUM(M54:M107)</f>
        <v>0</v>
      </c>
      <c r="N108" s="1078">
        <f>SUM(N54:N107)</f>
        <v>-32704197.82049999</v>
      </c>
      <c r="O108" s="1068"/>
    </row>
    <row r="109" spans="3:17" ht="25.5">
      <c r="C109" s="1094"/>
      <c r="D109" s="791"/>
      <c r="G109" s="1803" t="s">
        <v>111</v>
      </c>
      <c r="H109" s="1820">
        <v>-72816095</v>
      </c>
      <c r="I109" s="1804"/>
      <c r="J109" s="1095"/>
      <c r="K109" s="1095"/>
      <c r="L109" s="1095"/>
      <c r="M109" s="1095"/>
      <c r="N109" s="1095"/>
    </row>
    <row r="110" spans="3:17">
      <c r="C110" s="1094"/>
      <c r="D110" s="791"/>
      <c r="G110" s="1823"/>
      <c r="H110" s="1805"/>
      <c r="I110" s="1804"/>
      <c r="J110" s="1095"/>
      <c r="K110" s="1095"/>
      <c r="L110" s="1095"/>
      <c r="M110" s="1095"/>
      <c r="N110" s="1095"/>
    </row>
    <row r="111" spans="3:17">
      <c r="G111" s="1810"/>
      <c r="H111" s="1805"/>
      <c r="I111" s="1776"/>
      <c r="J111" s="1776"/>
      <c r="K111" s="1776"/>
      <c r="L111" s="1776"/>
      <c r="M111" s="1776"/>
      <c r="N111" s="1776"/>
    </row>
    <row r="112" spans="3:17">
      <c r="H112" s="1805"/>
      <c r="I112" s="1776"/>
      <c r="J112" s="1776"/>
      <c r="K112" s="1776"/>
      <c r="L112" s="1776"/>
      <c r="M112" s="1776"/>
      <c r="N112" s="1776"/>
    </row>
    <row r="113" spans="3:14">
      <c r="C113" s="1061" t="s">
        <v>689</v>
      </c>
      <c r="D113" s="1811" t="s">
        <v>339</v>
      </c>
      <c r="E113" s="1063" t="s">
        <v>690</v>
      </c>
      <c r="F113" s="1064"/>
      <c r="G113" s="1063" t="s">
        <v>691</v>
      </c>
      <c r="H113" s="1065">
        <v>-221027.99599999993</v>
      </c>
      <c r="I113" s="1066" t="s">
        <v>293</v>
      </c>
      <c r="J113" s="1815">
        <f>IF(I113="e",H113," ")</f>
        <v>-221027.99599999993</v>
      </c>
      <c r="K113" s="1776" t="str">
        <f>IF($I113="T",$H113," ")</f>
        <v xml:space="preserve"> </v>
      </c>
      <c r="L113" s="1776" t="str">
        <f>IF($I113="PTD",$H113," ")</f>
        <v xml:space="preserve"> </v>
      </c>
      <c r="M113" s="1815" t="str">
        <f>IF($I113="T&amp;D",$H113," ")</f>
        <v xml:space="preserve"> </v>
      </c>
      <c r="N113" s="1815" t="str">
        <f>IF(I113="Labor",H113," ")</f>
        <v xml:space="preserve"> </v>
      </c>
    </row>
    <row r="114" spans="3:14">
      <c r="C114" s="1061" t="s">
        <v>689</v>
      </c>
      <c r="D114" s="1811" t="s">
        <v>339</v>
      </c>
      <c r="E114" s="1063" t="s">
        <v>1012</v>
      </c>
      <c r="F114" s="1064"/>
      <c r="G114" s="1063" t="s">
        <v>692</v>
      </c>
      <c r="H114" s="1065">
        <v>898797.00049999997</v>
      </c>
      <c r="I114" s="1066" t="s">
        <v>293</v>
      </c>
      <c r="J114" s="1815">
        <f t="shared" ref="J114:J177" si="21">IF(I114="e",H114," ")</f>
        <v>898797.00049999997</v>
      </c>
      <c r="K114" s="1776" t="str">
        <f t="shared" ref="K114:K177" si="22">IF($I114="T",$H114," ")</f>
        <v xml:space="preserve"> </v>
      </c>
      <c r="L114" s="1776" t="str">
        <f t="shared" ref="L114:L177" si="23">IF($I114="PTD",$H114," ")</f>
        <v xml:space="preserve"> </v>
      </c>
      <c r="M114" s="1815" t="str">
        <f t="shared" ref="M114:M177" si="24">IF($I114="T&amp;D",$H114," ")</f>
        <v xml:space="preserve"> </v>
      </c>
      <c r="N114" s="1815" t="str">
        <f t="shared" ref="N114:N177" si="25">IF(I114="Labor",H114," ")</f>
        <v xml:space="preserve"> </v>
      </c>
    </row>
    <row r="115" spans="3:14">
      <c r="C115" s="1061" t="s">
        <v>689</v>
      </c>
      <c r="D115" s="1811" t="s">
        <v>339</v>
      </c>
      <c r="E115" s="1063" t="s">
        <v>693</v>
      </c>
      <c r="F115" s="1064"/>
      <c r="G115" s="1063" t="s">
        <v>694</v>
      </c>
      <c r="H115" s="1065">
        <v>0</v>
      </c>
      <c r="I115" s="1066" t="s">
        <v>293</v>
      </c>
      <c r="J115" s="1815">
        <f t="shared" si="21"/>
        <v>0</v>
      </c>
      <c r="K115" s="1776" t="str">
        <f t="shared" si="22"/>
        <v xml:space="preserve"> </v>
      </c>
      <c r="L115" s="1776" t="str">
        <f t="shared" si="23"/>
        <v xml:space="preserve"> </v>
      </c>
      <c r="M115" s="1815" t="str">
        <f t="shared" si="24"/>
        <v xml:space="preserve"> </v>
      </c>
      <c r="N115" s="1815" t="str">
        <f t="shared" si="25"/>
        <v xml:space="preserve"> </v>
      </c>
    </row>
    <row r="116" spans="3:14">
      <c r="C116" s="1061" t="s">
        <v>689</v>
      </c>
      <c r="D116" s="1811" t="s">
        <v>339</v>
      </c>
      <c r="E116" s="1063" t="s">
        <v>695</v>
      </c>
      <c r="F116" s="1064"/>
      <c r="G116" s="1063" t="s">
        <v>696</v>
      </c>
      <c r="H116" s="1065">
        <v>-0.54949999999917054</v>
      </c>
      <c r="I116" s="1066" t="s">
        <v>293</v>
      </c>
      <c r="J116" s="1815">
        <f t="shared" si="21"/>
        <v>-0.54949999999917054</v>
      </c>
      <c r="K116" s="1776" t="str">
        <f t="shared" si="22"/>
        <v xml:space="preserve"> </v>
      </c>
      <c r="L116" s="1776" t="str">
        <f t="shared" si="23"/>
        <v xml:space="preserve"> </v>
      </c>
      <c r="M116" s="1815" t="str">
        <f t="shared" si="24"/>
        <v xml:space="preserve"> </v>
      </c>
      <c r="N116" s="1815" t="str">
        <f t="shared" si="25"/>
        <v xml:space="preserve"> </v>
      </c>
    </row>
    <row r="117" spans="3:14">
      <c r="C117" s="1061" t="s">
        <v>689</v>
      </c>
      <c r="D117" s="1811" t="s">
        <v>339</v>
      </c>
      <c r="E117" s="1063" t="s">
        <v>697</v>
      </c>
      <c r="F117" s="1064"/>
      <c r="G117" s="1063" t="s">
        <v>698</v>
      </c>
      <c r="H117" s="1065">
        <v>-4922993.0664999988</v>
      </c>
      <c r="I117" s="1066" t="s">
        <v>293</v>
      </c>
      <c r="J117" s="1815">
        <f t="shared" si="21"/>
        <v>-4922993.0664999988</v>
      </c>
      <c r="K117" s="1776" t="str">
        <f t="shared" si="22"/>
        <v xml:space="preserve"> </v>
      </c>
      <c r="L117" s="1776" t="str">
        <f t="shared" si="23"/>
        <v xml:space="preserve"> </v>
      </c>
      <c r="M117" s="1815" t="str">
        <f t="shared" si="24"/>
        <v xml:space="preserve"> </v>
      </c>
      <c r="N117" s="1815" t="str">
        <f t="shared" si="25"/>
        <v xml:space="preserve"> </v>
      </c>
    </row>
    <row r="118" spans="3:14">
      <c r="C118" s="1061" t="s">
        <v>689</v>
      </c>
      <c r="D118" s="1811" t="s">
        <v>339</v>
      </c>
      <c r="E118" s="1063" t="s">
        <v>699</v>
      </c>
      <c r="F118" s="1064"/>
      <c r="G118" s="1063" t="s">
        <v>700</v>
      </c>
      <c r="H118" s="1065">
        <v>1.0499999894818757E-2</v>
      </c>
      <c r="I118" s="1066" t="s">
        <v>293</v>
      </c>
      <c r="J118" s="1815">
        <f t="shared" si="21"/>
        <v>1.0499999894818757E-2</v>
      </c>
      <c r="K118" s="1776" t="str">
        <f t="shared" si="22"/>
        <v xml:space="preserve"> </v>
      </c>
      <c r="L118" s="1776" t="str">
        <f t="shared" si="23"/>
        <v xml:space="preserve"> </v>
      </c>
      <c r="M118" s="1815" t="str">
        <f t="shared" si="24"/>
        <v xml:space="preserve"> </v>
      </c>
      <c r="N118" s="1815" t="str">
        <f t="shared" si="25"/>
        <v xml:space="preserve"> </v>
      </c>
    </row>
    <row r="119" spans="3:14">
      <c r="C119" s="1061" t="s">
        <v>689</v>
      </c>
      <c r="D119" s="1811" t="s">
        <v>339</v>
      </c>
      <c r="E119" s="1063" t="s">
        <v>701</v>
      </c>
      <c r="F119" s="1064"/>
      <c r="G119" s="1063" t="s">
        <v>702</v>
      </c>
      <c r="H119" s="1065">
        <v>7743814.5609999998</v>
      </c>
      <c r="I119" s="1066" t="s">
        <v>293</v>
      </c>
      <c r="J119" s="1815">
        <f t="shared" si="21"/>
        <v>7743814.5609999998</v>
      </c>
      <c r="K119" s="1776" t="str">
        <f t="shared" si="22"/>
        <v xml:space="preserve"> </v>
      </c>
      <c r="L119" s="1776" t="str">
        <f t="shared" si="23"/>
        <v xml:space="preserve"> </v>
      </c>
      <c r="M119" s="1815" t="str">
        <f t="shared" si="24"/>
        <v xml:space="preserve"> </v>
      </c>
      <c r="N119" s="1815" t="str">
        <f t="shared" si="25"/>
        <v xml:space="preserve"> </v>
      </c>
    </row>
    <row r="120" spans="3:14">
      <c r="C120" s="1061" t="s">
        <v>689</v>
      </c>
      <c r="D120" s="1811" t="s">
        <v>339</v>
      </c>
      <c r="E120" s="1063" t="s">
        <v>703</v>
      </c>
      <c r="F120" s="1064"/>
      <c r="G120" s="1063" t="s">
        <v>704</v>
      </c>
      <c r="H120" s="1065">
        <v>4305540.4939999999</v>
      </c>
      <c r="I120" s="1066" t="s">
        <v>160</v>
      </c>
      <c r="J120" s="1815" t="str">
        <f t="shared" si="21"/>
        <v xml:space="preserve"> </v>
      </c>
      <c r="K120" s="1776" t="str">
        <f t="shared" si="22"/>
        <v xml:space="preserve"> </v>
      </c>
      <c r="L120" s="1776">
        <f t="shared" si="23"/>
        <v>4305540.4939999999</v>
      </c>
      <c r="M120" s="1815" t="str">
        <f t="shared" si="24"/>
        <v xml:space="preserve"> </v>
      </c>
      <c r="N120" s="1815" t="str">
        <f t="shared" si="25"/>
        <v xml:space="preserve"> </v>
      </c>
    </row>
    <row r="121" spans="3:14">
      <c r="C121" s="1061" t="s">
        <v>689</v>
      </c>
      <c r="D121" s="1811" t="s">
        <v>339</v>
      </c>
      <c r="E121" s="1063" t="s">
        <v>705</v>
      </c>
      <c r="F121" s="1064"/>
      <c r="G121" s="1063" t="s">
        <v>706</v>
      </c>
      <c r="H121" s="1065">
        <v>-62292.649999999994</v>
      </c>
      <c r="I121" s="1066" t="s">
        <v>293</v>
      </c>
      <c r="J121" s="1815">
        <f t="shared" si="21"/>
        <v>-62292.649999999994</v>
      </c>
      <c r="K121" s="1776" t="str">
        <f t="shared" si="22"/>
        <v xml:space="preserve"> </v>
      </c>
      <c r="L121" s="1776" t="str">
        <f t="shared" si="23"/>
        <v xml:space="preserve"> </v>
      </c>
      <c r="M121" s="1815" t="str">
        <f t="shared" si="24"/>
        <v xml:space="preserve"> </v>
      </c>
      <c r="N121" s="1815" t="str">
        <f t="shared" si="25"/>
        <v xml:space="preserve"> </v>
      </c>
    </row>
    <row r="122" spans="3:14">
      <c r="C122" s="1061" t="s">
        <v>689</v>
      </c>
      <c r="D122" s="1811" t="s">
        <v>339</v>
      </c>
      <c r="E122" s="1063" t="s">
        <v>707</v>
      </c>
      <c r="F122" s="1064"/>
      <c r="G122" s="1063" t="s">
        <v>708</v>
      </c>
      <c r="H122" s="1065">
        <v>164185.78249999997</v>
      </c>
      <c r="I122" s="1066" t="s">
        <v>302</v>
      </c>
      <c r="J122" s="1815" t="str">
        <f t="shared" si="21"/>
        <v xml:space="preserve"> </v>
      </c>
      <c r="K122" s="1776" t="str">
        <f t="shared" si="22"/>
        <v xml:space="preserve"> </v>
      </c>
      <c r="L122" s="1776" t="str">
        <f t="shared" si="23"/>
        <v xml:space="preserve"> </v>
      </c>
      <c r="M122" s="1815" t="str">
        <f t="shared" si="24"/>
        <v xml:space="preserve"> </v>
      </c>
      <c r="N122" s="1815">
        <f t="shared" si="25"/>
        <v>164185.78249999997</v>
      </c>
    </row>
    <row r="123" spans="3:14">
      <c r="C123" s="1061" t="s">
        <v>689</v>
      </c>
      <c r="D123" s="1811" t="s">
        <v>339</v>
      </c>
      <c r="E123" s="1063" t="s">
        <v>709</v>
      </c>
      <c r="F123" s="1064"/>
      <c r="G123" s="1063" t="s">
        <v>710</v>
      </c>
      <c r="H123" s="1065">
        <v>374514.54749999993</v>
      </c>
      <c r="I123" s="1066" t="s">
        <v>302</v>
      </c>
      <c r="J123" s="1815" t="str">
        <f t="shared" si="21"/>
        <v xml:space="preserve"> </v>
      </c>
      <c r="K123" s="1776" t="str">
        <f t="shared" si="22"/>
        <v xml:space="preserve"> </v>
      </c>
      <c r="L123" s="1776" t="str">
        <f t="shared" si="23"/>
        <v xml:space="preserve"> </v>
      </c>
      <c r="M123" s="1815" t="str">
        <f t="shared" si="24"/>
        <v xml:space="preserve"> </v>
      </c>
      <c r="N123" s="1815">
        <f t="shared" si="25"/>
        <v>374514.54749999993</v>
      </c>
    </row>
    <row r="124" spans="3:14">
      <c r="C124" s="1061" t="s">
        <v>689</v>
      </c>
      <c r="D124" s="1811" t="s">
        <v>339</v>
      </c>
      <c r="E124" s="1063" t="s">
        <v>711</v>
      </c>
      <c r="F124" s="1064"/>
      <c r="G124" s="1063" t="s">
        <v>712</v>
      </c>
      <c r="H124" s="1065">
        <v>395493</v>
      </c>
      <c r="I124" s="1066" t="s">
        <v>293</v>
      </c>
      <c r="J124" s="1815">
        <f t="shared" si="21"/>
        <v>395493</v>
      </c>
      <c r="K124" s="1776" t="str">
        <f t="shared" si="22"/>
        <v xml:space="preserve"> </v>
      </c>
      <c r="L124" s="1776" t="str">
        <f t="shared" si="23"/>
        <v xml:space="preserve"> </v>
      </c>
      <c r="M124" s="1815" t="str">
        <f t="shared" si="24"/>
        <v xml:space="preserve"> </v>
      </c>
      <c r="N124" s="1815" t="str">
        <f t="shared" si="25"/>
        <v xml:space="preserve"> </v>
      </c>
    </row>
    <row r="125" spans="3:14">
      <c r="C125" s="1061" t="s">
        <v>689</v>
      </c>
      <c r="D125" s="1811" t="s">
        <v>339</v>
      </c>
      <c r="E125" s="1063" t="s">
        <v>713</v>
      </c>
      <c r="F125" s="1064"/>
      <c r="G125" s="1063" t="s">
        <v>714</v>
      </c>
      <c r="H125" s="1065">
        <v>405516.7865000001</v>
      </c>
      <c r="I125" s="1066" t="s">
        <v>302</v>
      </c>
      <c r="J125" s="1815" t="str">
        <f t="shared" si="21"/>
        <v xml:space="preserve"> </v>
      </c>
      <c r="K125" s="1776" t="str">
        <f t="shared" si="22"/>
        <v xml:space="preserve"> </v>
      </c>
      <c r="L125" s="1776" t="str">
        <f t="shared" si="23"/>
        <v xml:space="preserve"> </v>
      </c>
      <c r="M125" s="1815" t="str">
        <f t="shared" si="24"/>
        <v xml:space="preserve"> </v>
      </c>
      <c r="N125" s="1815">
        <f t="shared" si="25"/>
        <v>405516.7865000001</v>
      </c>
    </row>
    <row r="126" spans="3:14">
      <c r="C126" s="1061" t="s">
        <v>689</v>
      </c>
      <c r="D126" s="1811" t="s">
        <v>339</v>
      </c>
      <c r="E126" s="1063" t="s">
        <v>715</v>
      </c>
      <c r="F126" s="1064"/>
      <c r="G126" s="1063" t="s">
        <v>716</v>
      </c>
      <c r="H126" s="1065">
        <v>0</v>
      </c>
      <c r="I126" s="1066" t="s">
        <v>293</v>
      </c>
      <c r="J126" s="1815">
        <f t="shared" si="21"/>
        <v>0</v>
      </c>
      <c r="K126" s="1776" t="str">
        <f t="shared" si="22"/>
        <v xml:space="preserve"> </v>
      </c>
      <c r="L126" s="1776" t="str">
        <f t="shared" si="23"/>
        <v xml:space="preserve"> </v>
      </c>
      <c r="M126" s="1815" t="str">
        <f t="shared" si="24"/>
        <v xml:space="preserve"> </v>
      </c>
      <c r="N126" s="1815" t="str">
        <f t="shared" si="25"/>
        <v xml:space="preserve"> </v>
      </c>
    </row>
    <row r="127" spans="3:14">
      <c r="C127" s="1061" t="s">
        <v>689</v>
      </c>
      <c r="D127" s="1811" t="s">
        <v>339</v>
      </c>
      <c r="E127" s="1063" t="s">
        <v>717</v>
      </c>
      <c r="F127" s="1064"/>
      <c r="G127" s="1063" t="s">
        <v>718</v>
      </c>
      <c r="H127" s="1065">
        <v>31017.080500000004</v>
      </c>
      <c r="I127" s="1066" t="s">
        <v>302</v>
      </c>
      <c r="J127" s="1815" t="str">
        <f t="shared" si="21"/>
        <v xml:space="preserve"> </v>
      </c>
      <c r="K127" s="1776" t="str">
        <f t="shared" si="22"/>
        <v xml:space="preserve"> </v>
      </c>
      <c r="L127" s="1776" t="str">
        <f t="shared" si="23"/>
        <v xml:space="preserve"> </v>
      </c>
      <c r="M127" s="1815" t="str">
        <f t="shared" si="24"/>
        <v xml:space="preserve"> </v>
      </c>
      <c r="N127" s="1815">
        <f t="shared" si="25"/>
        <v>31017.080500000004</v>
      </c>
    </row>
    <row r="128" spans="3:14">
      <c r="C128" s="1061" t="s">
        <v>689</v>
      </c>
      <c r="D128" s="1811" t="s">
        <v>339</v>
      </c>
      <c r="E128" s="1063" t="s">
        <v>719</v>
      </c>
      <c r="F128" s="1064"/>
      <c r="G128" s="1063" t="s">
        <v>720</v>
      </c>
      <c r="H128" s="1065">
        <v>1169207.8154999996</v>
      </c>
      <c r="I128" s="1066" t="s">
        <v>302</v>
      </c>
      <c r="J128" s="1815" t="str">
        <f t="shared" si="21"/>
        <v xml:space="preserve"> </v>
      </c>
      <c r="K128" s="1776" t="str">
        <f t="shared" si="22"/>
        <v xml:space="preserve"> </v>
      </c>
      <c r="L128" s="1776" t="str">
        <f t="shared" si="23"/>
        <v xml:space="preserve"> </v>
      </c>
      <c r="M128" s="1815" t="str">
        <f t="shared" si="24"/>
        <v xml:space="preserve"> </v>
      </c>
      <c r="N128" s="1815">
        <f t="shared" si="25"/>
        <v>1169207.8154999996</v>
      </c>
    </row>
    <row r="129" spans="3:14">
      <c r="C129" s="1061" t="s">
        <v>689</v>
      </c>
      <c r="D129" s="1811"/>
      <c r="E129" s="1063" t="s">
        <v>1410</v>
      </c>
      <c r="F129" s="1064"/>
      <c r="G129" s="1126" t="s">
        <v>1435</v>
      </c>
      <c r="H129" s="1065">
        <v>1122944.3155</v>
      </c>
      <c r="I129" s="1066" t="s">
        <v>302</v>
      </c>
      <c r="J129" s="1815" t="str">
        <f t="shared" si="21"/>
        <v xml:space="preserve"> </v>
      </c>
      <c r="K129" s="1776" t="str">
        <f t="shared" si="22"/>
        <v xml:space="preserve"> </v>
      </c>
      <c r="L129" s="1776" t="str">
        <f t="shared" si="23"/>
        <v xml:space="preserve"> </v>
      </c>
      <c r="M129" s="1815" t="str">
        <f t="shared" si="24"/>
        <v xml:space="preserve"> </v>
      </c>
      <c r="N129" s="1815">
        <f t="shared" si="25"/>
        <v>1122944.3155</v>
      </c>
    </row>
    <row r="130" spans="3:14">
      <c r="C130" s="1061" t="s">
        <v>689</v>
      </c>
      <c r="D130" s="1811" t="s">
        <v>339</v>
      </c>
      <c r="E130" s="1063" t="s">
        <v>721</v>
      </c>
      <c r="F130" s="1064"/>
      <c r="G130" s="1063" t="s">
        <v>722</v>
      </c>
      <c r="H130" s="1065">
        <v>465306.71600000013</v>
      </c>
      <c r="I130" s="1066" t="s">
        <v>293</v>
      </c>
      <c r="J130" s="1815">
        <f t="shared" si="21"/>
        <v>465306.71600000013</v>
      </c>
      <c r="K130" s="1776" t="str">
        <f t="shared" si="22"/>
        <v xml:space="preserve"> </v>
      </c>
      <c r="L130" s="1776" t="str">
        <f t="shared" si="23"/>
        <v xml:space="preserve"> </v>
      </c>
      <c r="M130" s="1815" t="str">
        <f t="shared" si="24"/>
        <v xml:space="preserve"> </v>
      </c>
      <c r="N130" s="1815" t="str">
        <f t="shared" si="25"/>
        <v xml:space="preserve"> </v>
      </c>
    </row>
    <row r="131" spans="3:14">
      <c r="C131" s="1061" t="s">
        <v>689</v>
      </c>
      <c r="D131" s="1811" t="s">
        <v>339</v>
      </c>
      <c r="E131" s="1063" t="s">
        <v>723</v>
      </c>
      <c r="F131" s="1064"/>
      <c r="G131" s="1063" t="s">
        <v>724</v>
      </c>
      <c r="H131" s="1065">
        <v>58.8</v>
      </c>
      <c r="I131" s="1066" t="s">
        <v>293</v>
      </c>
      <c r="J131" s="1815">
        <f t="shared" si="21"/>
        <v>58.8</v>
      </c>
      <c r="K131" s="1776" t="str">
        <f t="shared" si="22"/>
        <v xml:space="preserve"> </v>
      </c>
      <c r="L131" s="1776" t="str">
        <f t="shared" si="23"/>
        <v xml:space="preserve"> </v>
      </c>
      <c r="M131" s="1815" t="str">
        <f t="shared" si="24"/>
        <v xml:space="preserve"> </v>
      </c>
      <c r="N131" s="1815" t="str">
        <f t="shared" si="25"/>
        <v xml:space="preserve"> </v>
      </c>
    </row>
    <row r="132" spans="3:14">
      <c r="C132" s="1061" t="s">
        <v>689</v>
      </c>
      <c r="D132" s="1811" t="s">
        <v>339</v>
      </c>
      <c r="E132" s="1063" t="s">
        <v>725</v>
      </c>
      <c r="F132" s="1064"/>
      <c r="G132" s="1063" t="s">
        <v>726</v>
      </c>
      <c r="H132" s="1065">
        <v>-596.04999999999995</v>
      </c>
      <c r="I132" s="1066" t="s">
        <v>293</v>
      </c>
      <c r="J132" s="1815">
        <f t="shared" si="21"/>
        <v>-596.04999999999995</v>
      </c>
      <c r="K132" s="1776" t="str">
        <f t="shared" si="22"/>
        <v xml:space="preserve"> </v>
      </c>
      <c r="L132" s="1776" t="str">
        <f t="shared" si="23"/>
        <v xml:space="preserve"> </v>
      </c>
      <c r="M132" s="1815" t="str">
        <f t="shared" si="24"/>
        <v xml:space="preserve"> </v>
      </c>
      <c r="N132" s="1815" t="str">
        <f t="shared" si="25"/>
        <v xml:space="preserve"> </v>
      </c>
    </row>
    <row r="133" spans="3:14">
      <c r="C133" s="1061" t="s">
        <v>689</v>
      </c>
      <c r="D133" s="1811" t="s">
        <v>339</v>
      </c>
      <c r="E133" s="1063" t="s">
        <v>727</v>
      </c>
      <c r="F133" s="1064"/>
      <c r="G133" s="1063" t="s">
        <v>728</v>
      </c>
      <c r="H133" s="1065">
        <v>11845995.578499997</v>
      </c>
      <c r="I133" s="1066" t="s">
        <v>293</v>
      </c>
      <c r="J133" s="1815">
        <f t="shared" si="21"/>
        <v>11845995.578499997</v>
      </c>
      <c r="K133" s="1776" t="str">
        <f t="shared" si="22"/>
        <v xml:space="preserve"> </v>
      </c>
      <c r="L133" s="1776" t="str">
        <f t="shared" si="23"/>
        <v xml:space="preserve"> </v>
      </c>
      <c r="M133" s="1815" t="str">
        <f t="shared" si="24"/>
        <v xml:space="preserve"> </v>
      </c>
      <c r="N133" s="1815" t="str">
        <f t="shared" si="25"/>
        <v xml:space="preserve"> </v>
      </c>
    </row>
    <row r="134" spans="3:14">
      <c r="C134" s="1061" t="s">
        <v>689</v>
      </c>
      <c r="D134" s="1811" t="s">
        <v>339</v>
      </c>
      <c r="E134" s="1063" t="s">
        <v>729</v>
      </c>
      <c r="F134" s="1064"/>
      <c r="G134" s="1063" t="s">
        <v>730</v>
      </c>
      <c r="H134" s="1065">
        <v>593274.85</v>
      </c>
      <c r="I134" s="1066" t="s">
        <v>302</v>
      </c>
      <c r="J134" s="1815" t="str">
        <f t="shared" si="21"/>
        <v xml:space="preserve"> </v>
      </c>
      <c r="K134" s="1776" t="str">
        <f t="shared" si="22"/>
        <v xml:space="preserve"> </v>
      </c>
      <c r="L134" s="1776" t="str">
        <f t="shared" si="23"/>
        <v xml:space="preserve"> </v>
      </c>
      <c r="M134" s="1815" t="str">
        <f t="shared" si="24"/>
        <v xml:space="preserve"> </v>
      </c>
      <c r="N134" s="1815">
        <f t="shared" si="25"/>
        <v>593274.85</v>
      </c>
    </row>
    <row r="135" spans="3:14">
      <c r="C135" s="1061" t="s">
        <v>689</v>
      </c>
      <c r="D135" s="1811" t="s">
        <v>339</v>
      </c>
      <c r="E135" s="1063" t="s">
        <v>731</v>
      </c>
      <c r="F135" s="1064"/>
      <c r="G135" s="1063" t="s">
        <v>732</v>
      </c>
      <c r="H135" s="1065">
        <v>3153345.591</v>
      </c>
      <c r="I135" s="1066" t="s">
        <v>302</v>
      </c>
      <c r="J135" s="1815" t="str">
        <f t="shared" si="21"/>
        <v xml:space="preserve"> </v>
      </c>
      <c r="K135" s="1776" t="str">
        <f t="shared" si="22"/>
        <v xml:space="preserve"> </v>
      </c>
      <c r="L135" s="1776" t="str">
        <f t="shared" si="23"/>
        <v xml:space="preserve"> </v>
      </c>
      <c r="M135" s="1815" t="str">
        <f t="shared" si="24"/>
        <v xml:space="preserve"> </v>
      </c>
      <c r="N135" s="1815">
        <f t="shared" si="25"/>
        <v>3153345.591</v>
      </c>
    </row>
    <row r="136" spans="3:14">
      <c r="C136" s="1061" t="s">
        <v>689</v>
      </c>
      <c r="D136" s="1811" t="s">
        <v>339</v>
      </c>
      <c r="E136" s="1063" t="s">
        <v>733</v>
      </c>
      <c r="F136" s="1064"/>
      <c r="G136" s="1063" t="s">
        <v>734</v>
      </c>
      <c r="H136" s="1065">
        <v>9147.8939999999984</v>
      </c>
      <c r="I136" s="1066" t="s">
        <v>160</v>
      </c>
      <c r="J136" s="1815" t="str">
        <f t="shared" si="21"/>
        <v xml:space="preserve"> </v>
      </c>
      <c r="K136" s="1776" t="str">
        <f t="shared" si="22"/>
        <v xml:space="preserve"> </v>
      </c>
      <c r="L136" s="1776">
        <f t="shared" si="23"/>
        <v>9147.8939999999984</v>
      </c>
      <c r="M136" s="1815" t="str">
        <f t="shared" si="24"/>
        <v xml:space="preserve"> </v>
      </c>
      <c r="N136" s="1815" t="str">
        <f t="shared" si="25"/>
        <v xml:space="preserve"> </v>
      </c>
    </row>
    <row r="137" spans="3:14">
      <c r="C137" s="1061" t="s">
        <v>689</v>
      </c>
      <c r="D137" s="1811" t="s">
        <v>339</v>
      </c>
      <c r="E137" s="1063" t="s">
        <v>735</v>
      </c>
      <c r="F137" s="1064"/>
      <c r="G137" s="1063" t="s">
        <v>736</v>
      </c>
      <c r="H137" s="1065">
        <v>3719194.823499999</v>
      </c>
      <c r="I137" s="1066" t="s">
        <v>302</v>
      </c>
      <c r="J137" s="1815" t="str">
        <f t="shared" si="21"/>
        <v xml:space="preserve"> </v>
      </c>
      <c r="K137" s="1776" t="str">
        <f t="shared" si="22"/>
        <v xml:space="preserve"> </v>
      </c>
      <c r="L137" s="1776" t="str">
        <f t="shared" si="23"/>
        <v xml:space="preserve"> </v>
      </c>
      <c r="M137" s="1815" t="str">
        <f t="shared" si="24"/>
        <v xml:space="preserve"> </v>
      </c>
      <c r="N137" s="1815">
        <f t="shared" si="25"/>
        <v>3719194.823499999</v>
      </c>
    </row>
    <row r="138" spans="3:14">
      <c r="C138" s="1061" t="s">
        <v>689</v>
      </c>
      <c r="D138" s="1811" t="s">
        <v>339</v>
      </c>
      <c r="E138" s="1063" t="s">
        <v>737</v>
      </c>
      <c r="F138" s="1064"/>
      <c r="G138" s="1063" t="s">
        <v>738</v>
      </c>
      <c r="H138" s="1065">
        <v>1193.4405000000002</v>
      </c>
      <c r="I138" s="1066" t="s">
        <v>293</v>
      </c>
      <c r="J138" s="1815">
        <f t="shared" si="21"/>
        <v>1193.4405000000002</v>
      </c>
      <c r="K138" s="1776" t="str">
        <f t="shared" si="22"/>
        <v xml:space="preserve"> </v>
      </c>
      <c r="L138" s="1776" t="str">
        <f t="shared" si="23"/>
        <v xml:space="preserve"> </v>
      </c>
      <c r="M138" s="1815" t="str">
        <f t="shared" si="24"/>
        <v xml:space="preserve"> </v>
      </c>
      <c r="N138" s="1815" t="str">
        <f t="shared" si="25"/>
        <v xml:space="preserve"> </v>
      </c>
    </row>
    <row r="139" spans="3:14">
      <c r="C139" s="1061" t="s">
        <v>689</v>
      </c>
      <c r="D139" s="1811" t="s">
        <v>339</v>
      </c>
      <c r="E139" s="1063" t="s">
        <v>739</v>
      </c>
      <c r="F139" s="1064"/>
      <c r="G139" s="1063" t="s">
        <v>740</v>
      </c>
      <c r="H139" s="1065">
        <v>36030.004500000003</v>
      </c>
      <c r="I139" s="1066" t="s">
        <v>302</v>
      </c>
      <c r="J139" s="1815" t="str">
        <f t="shared" si="21"/>
        <v xml:space="preserve"> </v>
      </c>
      <c r="K139" s="1776" t="str">
        <f t="shared" si="22"/>
        <v xml:space="preserve"> </v>
      </c>
      <c r="L139" s="1776" t="str">
        <f t="shared" si="23"/>
        <v xml:space="preserve"> </v>
      </c>
      <c r="M139" s="1815" t="str">
        <f t="shared" si="24"/>
        <v xml:space="preserve"> </v>
      </c>
      <c r="N139" s="1815">
        <f t="shared" si="25"/>
        <v>36030.004500000003</v>
      </c>
    </row>
    <row r="140" spans="3:14">
      <c r="C140" s="1061" t="s">
        <v>689</v>
      </c>
      <c r="D140" s="1811" t="s">
        <v>339</v>
      </c>
      <c r="E140" s="1063" t="s">
        <v>741</v>
      </c>
      <c r="F140" s="1064"/>
      <c r="G140" s="1063" t="s">
        <v>742</v>
      </c>
      <c r="H140" s="1065">
        <v>0</v>
      </c>
      <c r="I140" s="1066" t="s">
        <v>293</v>
      </c>
      <c r="J140" s="1815">
        <f t="shared" si="21"/>
        <v>0</v>
      </c>
      <c r="K140" s="1776" t="str">
        <f t="shared" si="22"/>
        <v xml:space="preserve"> </v>
      </c>
      <c r="L140" s="1776" t="str">
        <f t="shared" si="23"/>
        <v xml:space="preserve"> </v>
      </c>
      <c r="M140" s="1815" t="str">
        <f t="shared" si="24"/>
        <v xml:space="preserve"> </v>
      </c>
      <c r="N140" s="1815" t="str">
        <f t="shared" si="25"/>
        <v xml:space="preserve"> </v>
      </c>
    </row>
    <row r="141" spans="3:14">
      <c r="C141" s="1061" t="s">
        <v>689</v>
      </c>
      <c r="D141" s="1811"/>
      <c r="E141" s="1063" t="s">
        <v>743</v>
      </c>
      <c r="F141" s="1064"/>
      <c r="G141" s="1063" t="s">
        <v>744</v>
      </c>
      <c r="H141" s="1065">
        <v>0.19949999999999998</v>
      </c>
      <c r="I141" s="1066" t="s">
        <v>160</v>
      </c>
      <c r="J141" s="1815" t="str">
        <f t="shared" si="21"/>
        <v xml:space="preserve"> </v>
      </c>
      <c r="K141" s="1776" t="str">
        <f t="shared" si="22"/>
        <v xml:space="preserve"> </v>
      </c>
      <c r="L141" s="1776">
        <f t="shared" si="23"/>
        <v>0.19949999999999998</v>
      </c>
      <c r="M141" s="1815" t="str">
        <f t="shared" si="24"/>
        <v xml:space="preserve"> </v>
      </c>
      <c r="N141" s="1815" t="str">
        <f t="shared" si="25"/>
        <v xml:space="preserve"> </v>
      </c>
    </row>
    <row r="142" spans="3:14">
      <c r="C142" s="1061" t="s">
        <v>689</v>
      </c>
      <c r="D142" s="1811"/>
      <c r="E142" s="1063" t="s">
        <v>745</v>
      </c>
      <c r="F142" s="1064"/>
      <c r="G142" s="1063" t="s">
        <v>746</v>
      </c>
      <c r="H142" s="1065">
        <v>-960769.36899999983</v>
      </c>
      <c r="I142" s="1066" t="s">
        <v>293</v>
      </c>
      <c r="J142" s="1815">
        <f t="shared" si="21"/>
        <v>-960769.36899999983</v>
      </c>
      <c r="K142" s="1776" t="str">
        <f t="shared" si="22"/>
        <v xml:space="preserve"> </v>
      </c>
      <c r="L142" s="1776" t="str">
        <f t="shared" si="23"/>
        <v xml:space="preserve"> </v>
      </c>
      <c r="M142" s="1815" t="str">
        <f t="shared" si="24"/>
        <v xml:space="preserve"> </v>
      </c>
      <c r="N142" s="1815" t="str">
        <f t="shared" si="25"/>
        <v xml:space="preserve"> </v>
      </c>
    </row>
    <row r="143" spans="3:14">
      <c r="C143" s="1061" t="s">
        <v>689</v>
      </c>
      <c r="D143" s="1811"/>
      <c r="E143" s="1063" t="s">
        <v>745</v>
      </c>
      <c r="F143" s="1064"/>
      <c r="G143" s="1063" t="s">
        <v>747</v>
      </c>
      <c r="H143" s="1065">
        <v>961044.92</v>
      </c>
      <c r="I143" s="1066" t="s">
        <v>293</v>
      </c>
      <c r="J143" s="1815">
        <f t="shared" si="21"/>
        <v>961044.92</v>
      </c>
      <c r="K143" s="1776" t="str">
        <f t="shared" si="22"/>
        <v xml:space="preserve"> </v>
      </c>
      <c r="L143" s="1776" t="str">
        <f t="shared" si="23"/>
        <v xml:space="preserve"> </v>
      </c>
      <c r="M143" s="1815" t="str">
        <f t="shared" si="24"/>
        <v xml:space="preserve"> </v>
      </c>
      <c r="N143" s="1815" t="str">
        <f t="shared" si="25"/>
        <v xml:space="preserve"> </v>
      </c>
    </row>
    <row r="144" spans="3:14">
      <c r="C144" s="1061" t="s">
        <v>689</v>
      </c>
      <c r="D144" s="1811"/>
      <c r="E144" s="1063" t="s">
        <v>748</v>
      </c>
      <c r="F144" s="1064"/>
      <c r="G144" s="1063" t="s">
        <v>749</v>
      </c>
      <c r="H144" s="1065">
        <v>-135989.80849999998</v>
      </c>
      <c r="I144" s="1066" t="s">
        <v>293</v>
      </c>
      <c r="J144" s="1815">
        <f t="shared" si="21"/>
        <v>-135989.80849999998</v>
      </c>
      <c r="K144" s="1776" t="str">
        <f t="shared" si="22"/>
        <v xml:space="preserve"> </v>
      </c>
      <c r="L144" s="1776" t="str">
        <f t="shared" si="23"/>
        <v xml:space="preserve"> </v>
      </c>
      <c r="M144" s="1815" t="str">
        <f t="shared" si="24"/>
        <v xml:space="preserve"> </v>
      </c>
      <c r="N144" s="1815" t="str">
        <f t="shared" si="25"/>
        <v xml:space="preserve"> </v>
      </c>
    </row>
    <row r="145" spans="3:14">
      <c r="C145" s="1061" t="s">
        <v>689</v>
      </c>
      <c r="D145" s="1811"/>
      <c r="E145" s="1063" t="s">
        <v>748</v>
      </c>
      <c r="F145" s="1064"/>
      <c r="G145" s="1063" t="s">
        <v>750</v>
      </c>
      <c r="H145" s="1065">
        <v>141586.31</v>
      </c>
      <c r="I145" s="1066" t="s">
        <v>293</v>
      </c>
      <c r="J145" s="1815">
        <f t="shared" si="21"/>
        <v>141586.31</v>
      </c>
      <c r="K145" s="1776" t="str">
        <f t="shared" si="22"/>
        <v xml:space="preserve"> </v>
      </c>
      <c r="L145" s="1776" t="str">
        <f t="shared" si="23"/>
        <v xml:space="preserve"> </v>
      </c>
      <c r="M145" s="1815" t="str">
        <f t="shared" si="24"/>
        <v xml:space="preserve"> </v>
      </c>
      <c r="N145" s="1815" t="str">
        <f t="shared" si="25"/>
        <v xml:space="preserve"> </v>
      </c>
    </row>
    <row r="146" spans="3:14">
      <c r="C146" s="1061" t="s">
        <v>689</v>
      </c>
      <c r="D146" s="1811"/>
      <c r="E146" s="1063" t="s">
        <v>1013</v>
      </c>
      <c r="F146" s="1064"/>
      <c r="G146" s="1063" t="s">
        <v>751</v>
      </c>
      <c r="H146" s="1065">
        <v>-621404</v>
      </c>
      <c r="I146" s="1066" t="s">
        <v>293</v>
      </c>
      <c r="J146" s="1815">
        <f t="shared" si="21"/>
        <v>-621404</v>
      </c>
      <c r="K146" s="1776" t="str">
        <f t="shared" si="22"/>
        <v xml:space="preserve"> </v>
      </c>
      <c r="L146" s="1776" t="str">
        <f t="shared" si="23"/>
        <v xml:space="preserve"> </v>
      </c>
      <c r="M146" s="1815" t="str">
        <f t="shared" si="24"/>
        <v xml:space="preserve"> </v>
      </c>
      <c r="N146" s="1815" t="str">
        <f t="shared" si="25"/>
        <v xml:space="preserve"> </v>
      </c>
    </row>
    <row r="147" spans="3:14">
      <c r="C147" s="1061" t="s">
        <v>689</v>
      </c>
      <c r="D147" s="1811"/>
      <c r="E147" s="1063" t="s">
        <v>752</v>
      </c>
      <c r="F147" s="1064"/>
      <c r="G147" s="1063" t="s">
        <v>753</v>
      </c>
      <c r="H147" s="1065">
        <v>-0.17149999998218846</v>
      </c>
      <c r="I147" s="1066" t="s">
        <v>293</v>
      </c>
      <c r="J147" s="1815">
        <f t="shared" si="21"/>
        <v>-0.17149999998218846</v>
      </c>
      <c r="K147" s="1776" t="str">
        <f t="shared" si="22"/>
        <v xml:space="preserve"> </v>
      </c>
      <c r="L147" s="1776" t="str">
        <f t="shared" si="23"/>
        <v xml:space="preserve"> </v>
      </c>
      <c r="M147" s="1815" t="str">
        <f t="shared" si="24"/>
        <v xml:space="preserve"> </v>
      </c>
      <c r="N147" s="1815" t="str">
        <f t="shared" si="25"/>
        <v xml:space="preserve"> </v>
      </c>
    </row>
    <row r="148" spans="3:14">
      <c r="C148" s="1061" t="s">
        <v>689</v>
      </c>
      <c r="D148" s="1811"/>
      <c r="E148" s="1063" t="s">
        <v>754</v>
      </c>
      <c r="F148" s="1064"/>
      <c r="G148" s="1063" t="s">
        <v>755</v>
      </c>
      <c r="H148" s="1065">
        <v>0</v>
      </c>
      <c r="I148" s="1066" t="s">
        <v>293</v>
      </c>
      <c r="J148" s="1815">
        <f t="shared" si="21"/>
        <v>0</v>
      </c>
      <c r="K148" s="1776" t="str">
        <f t="shared" si="22"/>
        <v xml:space="preserve"> </v>
      </c>
      <c r="L148" s="1776" t="str">
        <f t="shared" si="23"/>
        <v xml:space="preserve"> </v>
      </c>
      <c r="M148" s="1815" t="str">
        <f t="shared" si="24"/>
        <v xml:space="preserve"> </v>
      </c>
      <c r="N148" s="1815" t="str">
        <f t="shared" si="25"/>
        <v xml:space="preserve"> </v>
      </c>
    </row>
    <row r="149" spans="3:14">
      <c r="C149" s="1061" t="s">
        <v>689</v>
      </c>
      <c r="D149" s="1811"/>
      <c r="E149" s="1063" t="s">
        <v>756</v>
      </c>
      <c r="F149" s="1064"/>
      <c r="G149" s="1063" t="s">
        <v>757</v>
      </c>
      <c r="H149" s="1065">
        <v>367922.38</v>
      </c>
      <c r="I149" s="1066" t="s">
        <v>160</v>
      </c>
      <c r="J149" s="1815" t="str">
        <f t="shared" si="21"/>
        <v xml:space="preserve"> </v>
      </c>
      <c r="K149" s="1776" t="str">
        <f t="shared" si="22"/>
        <v xml:space="preserve"> </v>
      </c>
      <c r="L149" s="1776">
        <f t="shared" si="23"/>
        <v>367922.38</v>
      </c>
      <c r="M149" s="1815" t="str">
        <f t="shared" si="24"/>
        <v xml:space="preserve"> </v>
      </c>
      <c r="N149" s="1815" t="str">
        <f t="shared" si="25"/>
        <v xml:space="preserve"> </v>
      </c>
    </row>
    <row r="150" spans="3:14">
      <c r="C150" s="1061" t="s">
        <v>689</v>
      </c>
      <c r="D150" s="1811"/>
      <c r="E150" s="1063" t="s">
        <v>758</v>
      </c>
      <c r="F150" s="1064"/>
      <c r="G150" s="1063" t="s">
        <v>759</v>
      </c>
      <c r="H150" s="1065">
        <v>95516.886500000022</v>
      </c>
      <c r="I150" s="1066" t="s">
        <v>293</v>
      </c>
      <c r="J150" s="1815">
        <f t="shared" si="21"/>
        <v>95516.886500000022</v>
      </c>
      <c r="K150" s="1776" t="str">
        <f t="shared" si="22"/>
        <v xml:space="preserve"> </v>
      </c>
      <c r="L150" s="1776" t="str">
        <f t="shared" si="23"/>
        <v xml:space="preserve"> </v>
      </c>
      <c r="M150" s="1815" t="str">
        <f t="shared" si="24"/>
        <v xml:space="preserve"> </v>
      </c>
      <c r="N150" s="1815" t="str">
        <f t="shared" si="25"/>
        <v xml:space="preserve"> </v>
      </c>
    </row>
    <row r="151" spans="3:14">
      <c r="C151" s="1061" t="s">
        <v>689</v>
      </c>
      <c r="D151" s="1811"/>
      <c r="E151" s="1063" t="s">
        <v>760</v>
      </c>
      <c r="F151" s="1064"/>
      <c r="G151" s="1063" t="s">
        <v>761</v>
      </c>
      <c r="H151" s="1065">
        <v>18723945.883499995</v>
      </c>
      <c r="I151" s="1066" t="s">
        <v>293</v>
      </c>
      <c r="J151" s="1815">
        <f t="shared" si="21"/>
        <v>18723945.883499995</v>
      </c>
      <c r="K151" s="1776" t="str">
        <f t="shared" si="22"/>
        <v xml:space="preserve"> </v>
      </c>
      <c r="L151" s="1776" t="str">
        <f t="shared" si="23"/>
        <v xml:space="preserve"> </v>
      </c>
      <c r="M151" s="1815" t="str">
        <f t="shared" si="24"/>
        <v xml:space="preserve"> </v>
      </c>
      <c r="N151" s="1815" t="str">
        <f t="shared" si="25"/>
        <v xml:space="preserve"> </v>
      </c>
    </row>
    <row r="152" spans="3:14">
      <c r="C152" s="1061" t="s">
        <v>689</v>
      </c>
      <c r="D152" s="1811"/>
      <c r="E152" s="1063" t="s">
        <v>762</v>
      </c>
      <c r="F152" s="1064"/>
      <c r="G152" s="1063" t="s">
        <v>763</v>
      </c>
      <c r="H152" s="1065">
        <v>5858756.3999999994</v>
      </c>
      <c r="I152" s="1066" t="s">
        <v>293</v>
      </c>
      <c r="J152" s="1815">
        <f t="shared" si="21"/>
        <v>5858756.3999999994</v>
      </c>
      <c r="K152" s="1776" t="str">
        <f t="shared" si="22"/>
        <v xml:space="preserve"> </v>
      </c>
      <c r="L152" s="1776" t="str">
        <f t="shared" si="23"/>
        <v xml:space="preserve"> </v>
      </c>
      <c r="M152" s="1815" t="str">
        <f t="shared" si="24"/>
        <v xml:space="preserve"> </v>
      </c>
      <c r="N152" s="1815" t="str">
        <f t="shared" si="25"/>
        <v xml:space="preserve"> </v>
      </c>
    </row>
    <row r="153" spans="3:14">
      <c r="C153" s="1061" t="s">
        <v>689</v>
      </c>
      <c r="D153" s="1811"/>
      <c r="E153" s="1063" t="s">
        <v>1436</v>
      </c>
      <c r="F153" s="1064"/>
      <c r="G153" s="1126" t="s">
        <v>1443</v>
      </c>
      <c r="H153" s="1065">
        <v>418194.72450000001</v>
      </c>
      <c r="I153" s="1066" t="s">
        <v>293</v>
      </c>
      <c r="J153" s="1815">
        <f t="shared" si="21"/>
        <v>418194.72450000001</v>
      </c>
      <c r="K153" s="1776" t="str">
        <f t="shared" si="22"/>
        <v xml:space="preserve"> </v>
      </c>
      <c r="L153" s="1776" t="str">
        <f t="shared" si="23"/>
        <v xml:space="preserve"> </v>
      </c>
      <c r="M153" s="1815" t="str">
        <f t="shared" si="24"/>
        <v xml:space="preserve"> </v>
      </c>
      <c r="N153" s="1815" t="str">
        <f t="shared" si="25"/>
        <v xml:space="preserve"> </v>
      </c>
    </row>
    <row r="154" spans="3:14">
      <c r="C154" s="1061" t="s">
        <v>689</v>
      </c>
      <c r="D154" s="1811"/>
      <c r="E154" s="1063" t="s">
        <v>1437</v>
      </c>
      <c r="F154" s="1064"/>
      <c r="G154" s="1126" t="s">
        <v>1444</v>
      </c>
      <c r="H154" s="1065">
        <v>1444748.6654999999</v>
      </c>
      <c r="I154" s="1066" t="s">
        <v>293</v>
      </c>
      <c r="J154" s="1815">
        <f t="shared" si="21"/>
        <v>1444748.6654999999</v>
      </c>
      <c r="K154" s="1776" t="str">
        <f t="shared" si="22"/>
        <v xml:space="preserve"> </v>
      </c>
      <c r="L154" s="1776" t="str">
        <f t="shared" si="23"/>
        <v xml:space="preserve"> </v>
      </c>
      <c r="M154" s="1815" t="str">
        <f t="shared" si="24"/>
        <v xml:space="preserve"> </v>
      </c>
      <c r="N154" s="1815" t="str">
        <f t="shared" si="25"/>
        <v xml:space="preserve"> </v>
      </c>
    </row>
    <row r="155" spans="3:14">
      <c r="C155" s="1061" t="s">
        <v>689</v>
      </c>
      <c r="D155" s="1811"/>
      <c r="E155" s="1063" t="s">
        <v>1438</v>
      </c>
      <c r="F155" s="1064"/>
      <c r="G155" s="1126" t="s">
        <v>1445</v>
      </c>
      <c r="H155" s="1065">
        <v>-16368.138499999999</v>
      </c>
      <c r="I155" s="1066" t="s">
        <v>293</v>
      </c>
      <c r="J155" s="1815">
        <f t="shared" si="21"/>
        <v>-16368.138499999999</v>
      </c>
      <c r="K155" s="1776" t="str">
        <f t="shared" si="22"/>
        <v xml:space="preserve"> </v>
      </c>
      <c r="L155" s="1776" t="str">
        <f t="shared" si="23"/>
        <v xml:space="preserve"> </v>
      </c>
      <c r="M155" s="1815" t="str">
        <f t="shared" si="24"/>
        <v xml:space="preserve"> </v>
      </c>
      <c r="N155" s="1815" t="str">
        <f t="shared" si="25"/>
        <v xml:space="preserve"> </v>
      </c>
    </row>
    <row r="156" spans="3:14">
      <c r="C156" s="1061" t="s">
        <v>689</v>
      </c>
      <c r="D156" s="1811"/>
      <c r="E156" s="1063" t="s">
        <v>1439</v>
      </c>
      <c r="F156" s="1064"/>
      <c r="G156" s="1126" t="s">
        <v>1446</v>
      </c>
      <c r="H156" s="1065">
        <v>-86123.978499999997</v>
      </c>
      <c r="I156" s="1066" t="s">
        <v>293</v>
      </c>
      <c r="J156" s="1815">
        <f t="shared" si="21"/>
        <v>-86123.978499999997</v>
      </c>
      <c r="K156" s="1776" t="str">
        <f t="shared" si="22"/>
        <v xml:space="preserve"> </v>
      </c>
      <c r="L156" s="1776" t="str">
        <f t="shared" si="23"/>
        <v xml:space="preserve"> </v>
      </c>
      <c r="M156" s="1815" t="str">
        <f t="shared" si="24"/>
        <v xml:space="preserve"> </v>
      </c>
      <c r="N156" s="1815" t="str">
        <f t="shared" si="25"/>
        <v xml:space="preserve"> </v>
      </c>
    </row>
    <row r="157" spans="3:14">
      <c r="C157" s="1061" t="s">
        <v>689</v>
      </c>
      <c r="D157" s="1811"/>
      <c r="E157" s="1063" t="s">
        <v>1440</v>
      </c>
      <c r="F157" s="1064"/>
      <c r="G157" s="1126" t="s">
        <v>1447</v>
      </c>
      <c r="H157" s="1065">
        <v>178687.62099999998</v>
      </c>
      <c r="I157" s="1066" t="s">
        <v>293</v>
      </c>
      <c r="J157" s="1815">
        <f t="shared" si="21"/>
        <v>178687.62099999998</v>
      </c>
      <c r="K157" s="1776" t="str">
        <f t="shared" si="22"/>
        <v xml:space="preserve"> </v>
      </c>
      <c r="L157" s="1776" t="str">
        <f t="shared" si="23"/>
        <v xml:space="preserve"> </v>
      </c>
      <c r="M157" s="1815" t="str">
        <f t="shared" si="24"/>
        <v xml:space="preserve"> </v>
      </c>
      <c r="N157" s="1815" t="str">
        <f t="shared" si="25"/>
        <v xml:space="preserve"> </v>
      </c>
    </row>
    <row r="158" spans="3:14">
      <c r="C158" s="1061" t="s">
        <v>689</v>
      </c>
      <c r="D158" s="1811"/>
      <c r="E158" s="1063" t="s">
        <v>1441</v>
      </c>
      <c r="F158" s="1064"/>
      <c r="G158" s="1126" t="s">
        <v>1448</v>
      </c>
      <c r="H158" s="1065">
        <v>81127.819499999998</v>
      </c>
      <c r="I158" s="1066" t="s">
        <v>293</v>
      </c>
      <c r="J158" s="1815">
        <f t="shared" si="21"/>
        <v>81127.819499999998</v>
      </c>
      <c r="K158" s="1776" t="str">
        <f t="shared" si="22"/>
        <v xml:space="preserve"> </v>
      </c>
      <c r="L158" s="1776" t="str">
        <f t="shared" si="23"/>
        <v xml:space="preserve"> </v>
      </c>
      <c r="M158" s="1815" t="str">
        <f t="shared" si="24"/>
        <v xml:space="preserve"> </v>
      </c>
      <c r="N158" s="1815" t="str">
        <f t="shared" si="25"/>
        <v xml:space="preserve"> </v>
      </c>
    </row>
    <row r="159" spans="3:14">
      <c r="C159" s="1061" t="s">
        <v>689</v>
      </c>
      <c r="D159" s="1811"/>
      <c r="E159" s="1063" t="s">
        <v>1442</v>
      </c>
      <c r="F159" s="1064"/>
      <c r="G159" s="1126" t="s">
        <v>1449</v>
      </c>
      <c r="H159" s="1065">
        <v>2065530.8064999997</v>
      </c>
      <c r="I159" s="1066" t="s">
        <v>293</v>
      </c>
      <c r="J159" s="1815">
        <f t="shared" si="21"/>
        <v>2065530.8064999997</v>
      </c>
      <c r="K159" s="1776" t="str">
        <f t="shared" si="22"/>
        <v xml:space="preserve"> </v>
      </c>
      <c r="L159" s="1776" t="str">
        <f t="shared" si="23"/>
        <v xml:space="preserve"> </v>
      </c>
      <c r="M159" s="1815" t="str">
        <f t="shared" si="24"/>
        <v xml:space="preserve"> </v>
      </c>
      <c r="N159" s="1815" t="str">
        <f t="shared" si="25"/>
        <v xml:space="preserve"> </v>
      </c>
    </row>
    <row r="160" spans="3:14">
      <c r="C160" s="1061" t="s">
        <v>689</v>
      </c>
      <c r="D160" s="1811" t="s">
        <v>339</v>
      </c>
      <c r="E160" s="1063" t="s">
        <v>764</v>
      </c>
      <c r="F160" s="1064"/>
      <c r="G160" s="1063" t="s">
        <v>765</v>
      </c>
      <c r="H160" s="1065">
        <v>898587.1510000003</v>
      </c>
      <c r="I160" s="1066" t="s">
        <v>293</v>
      </c>
      <c r="J160" s="1815">
        <f t="shared" si="21"/>
        <v>898587.1510000003</v>
      </c>
      <c r="K160" s="1776" t="str">
        <f t="shared" si="22"/>
        <v xml:space="preserve"> </v>
      </c>
      <c r="L160" s="1776" t="str">
        <f t="shared" si="23"/>
        <v xml:space="preserve"> </v>
      </c>
      <c r="M160" s="1815" t="str">
        <f t="shared" si="24"/>
        <v xml:space="preserve"> </v>
      </c>
      <c r="N160" s="1815" t="str">
        <f t="shared" si="25"/>
        <v xml:space="preserve"> </v>
      </c>
    </row>
    <row r="161" spans="3:14">
      <c r="C161" s="1061" t="s">
        <v>689</v>
      </c>
      <c r="D161" s="1811" t="s">
        <v>339</v>
      </c>
      <c r="E161" s="1063" t="s">
        <v>766</v>
      </c>
      <c r="F161" s="1064"/>
      <c r="G161" s="1063" t="s">
        <v>767</v>
      </c>
      <c r="H161" s="1065">
        <v>3.4999987194314595E-3</v>
      </c>
      <c r="I161" s="1066" t="s">
        <v>293</v>
      </c>
      <c r="J161" s="1815">
        <f t="shared" si="21"/>
        <v>3.4999987194314595E-3</v>
      </c>
      <c r="K161" s="1776" t="str">
        <f t="shared" si="22"/>
        <v xml:space="preserve"> </v>
      </c>
      <c r="L161" s="1776" t="str">
        <f t="shared" si="23"/>
        <v xml:space="preserve"> </v>
      </c>
      <c r="M161" s="1815" t="str">
        <f t="shared" si="24"/>
        <v xml:space="preserve"> </v>
      </c>
      <c r="N161" s="1815" t="str">
        <f t="shared" si="25"/>
        <v xml:space="preserve"> </v>
      </c>
    </row>
    <row r="162" spans="3:14">
      <c r="C162" s="1061" t="s">
        <v>689</v>
      </c>
      <c r="D162" s="1811" t="s">
        <v>339</v>
      </c>
      <c r="E162" s="1063" t="s">
        <v>768</v>
      </c>
      <c r="F162" s="1064"/>
      <c r="G162" s="1063" t="s">
        <v>769</v>
      </c>
      <c r="H162" s="1065">
        <v>2119648.2999999998</v>
      </c>
      <c r="I162" s="1066" t="s">
        <v>293</v>
      </c>
      <c r="J162" s="1815">
        <f t="shared" si="21"/>
        <v>2119648.2999999998</v>
      </c>
      <c r="K162" s="1776" t="str">
        <f t="shared" si="22"/>
        <v xml:space="preserve"> </v>
      </c>
      <c r="L162" s="1776" t="str">
        <f t="shared" si="23"/>
        <v xml:space="preserve"> </v>
      </c>
      <c r="M162" s="1815" t="str">
        <f t="shared" si="24"/>
        <v xml:space="preserve"> </v>
      </c>
      <c r="N162" s="1815" t="str">
        <f t="shared" si="25"/>
        <v xml:space="preserve"> </v>
      </c>
    </row>
    <row r="163" spans="3:14">
      <c r="C163" s="1061" t="s">
        <v>689</v>
      </c>
      <c r="D163" s="1811" t="s">
        <v>339</v>
      </c>
      <c r="E163" s="1063" t="s">
        <v>770</v>
      </c>
      <c r="F163" s="1064"/>
      <c r="G163" s="1063" t="s">
        <v>771</v>
      </c>
      <c r="H163" s="1065">
        <v>-1024497.95</v>
      </c>
      <c r="I163" s="1066" t="s">
        <v>293</v>
      </c>
      <c r="J163" s="1815">
        <f t="shared" si="21"/>
        <v>-1024497.95</v>
      </c>
      <c r="K163" s="1776" t="str">
        <f t="shared" si="22"/>
        <v xml:space="preserve"> </v>
      </c>
      <c r="L163" s="1776" t="str">
        <f t="shared" si="23"/>
        <v xml:space="preserve"> </v>
      </c>
      <c r="M163" s="1815" t="str">
        <f t="shared" si="24"/>
        <v xml:space="preserve"> </v>
      </c>
      <c r="N163" s="1815" t="str">
        <f t="shared" si="25"/>
        <v xml:space="preserve"> </v>
      </c>
    </row>
    <row r="164" spans="3:14">
      <c r="C164" s="1061" t="s">
        <v>689</v>
      </c>
      <c r="D164" s="1811" t="s">
        <v>339</v>
      </c>
      <c r="E164" s="1063" t="s">
        <v>772</v>
      </c>
      <c r="F164" s="1064"/>
      <c r="G164" s="1063" t="s">
        <v>773</v>
      </c>
      <c r="H164" s="1065">
        <v>165639.25000000006</v>
      </c>
      <c r="I164" s="1066" t="s">
        <v>293</v>
      </c>
      <c r="J164" s="1815">
        <f t="shared" si="21"/>
        <v>165639.25000000006</v>
      </c>
      <c r="K164" s="1776" t="str">
        <f t="shared" si="22"/>
        <v xml:space="preserve"> </v>
      </c>
      <c r="L164" s="1776" t="str">
        <f t="shared" si="23"/>
        <v xml:space="preserve"> </v>
      </c>
      <c r="M164" s="1815" t="str">
        <f t="shared" si="24"/>
        <v xml:space="preserve"> </v>
      </c>
      <c r="N164" s="1815" t="str">
        <f t="shared" si="25"/>
        <v xml:space="preserve"> </v>
      </c>
    </row>
    <row r="165" spans="3:14">
      <c r="C165" s="1061" t="s">
        <v>689</v>
      </c>
      <c r="D165" s="1811" t="s">
        <v>339</v>
      </c>
      <c r="E165" s="1063" t="s">
        <v>774</v>
      </c>
      <c r="F165" s="1064"/>
      <c r="G165" s="1063" t="s">
        <v>775</v>
      </c>
      <c r="H165" s="1065">
        <v>-1313671.1980000003</v>
      </c>
      <c r="I165" s="1066" t="s">
        <v>293</v>
      </c>
      <c r="J165" s="1815">
        <f t="shared" si="21"/>
        <v>-1313671.1980000003</v>
      </c>
      <c r="K165" s="1776" t="str">
        <f t="shared" si="22"/>
        <v xml:space="preserve"> </v>
      </c>
      <c r="L165" s="1776" t="str">
        <f t="shared" si="23"/>
        <v xml:space="preserve"> </v>
      </c>
      <c r="M165" s="1815" t="str">
        <f t="shared" si="24"/>
        <v xml:space="preserve"> </v>
      </c>
      <c r="N165" s="1815" t="str">
        <f t="shared" si="25"/>
        <v xml:space="preserve"> </v>
      </c>
    </row>
    <row r="166" spans="3:14">
      <c r="C166" s="1061" t="s">
        <v>689</v>
      </c>
      <c r="D166" s="1811" t="s">
        <v>339</v>
      </c>
      <c r="E166" s="1063" t="s">
        <v>776</v>
      </c>
      <c r="F166" s="1064"/>
      <c r="G166" s="1063" t="s">
        <v>777</v>
      </c>
      <c r="H166" s="1065">
        <v>32465383.543499999</v>
      </c>
      <c r="I166" s="1066" t="s">
        <v>293</v>
      </c>
      <c r="J166" s="1815">
        <f t="shared" si="21"/>
        <v>32465383.543499999</v>
      </c>
      <c r="K166" s="1776" t="str">
        <f t="shared" si="22"/>
        <v xml:space="preserve"> </v>
      </c>
      <c r="L166" s="1776" t="str">
        <f t="shared" si="23"/>
        <v xml:space="preserve"> </v>
      </c>
      <c r="M166" s="1815" t="str">
        <f t="shared" si="24"/>
        <v xml:space="preserve"> </v>
      </c>
      <c r="N166" s="1815" t="str">
        <f t="shared" si="25"/>
        <v xml:space="preserve"> </v>
      </c>
    </row>
    <row r="167" spans="3:14">
      <c r="C167" s="1061" t="s">
        <v>689</v>
      </c>
      <c r="D167" s="1811" t="s">
        <v>339</v>
      </c>
      <c r="E167" s="1063" t="s">
        <v>778</v>
      </c>
      <c r="F167" s="1064"/>
      <c r="G167" s="1063" t="s">
        <v>779</v>
      </c>
      <c r="H167" s="1065">
        <v>-34232.1</v>
      </c>
      <c r="I167" s="1066" t="s">
        <v>293</v>
      </c>
      <c r="J167" s="1815">
        <f t="shared" si="21"/>
        <v>-34232.1</v>
      </c>
      <c r="K167" s="1776" t="str">
        <f t="shared" si="22"/>
        <v xml:space="preserve"> </v>
      </c>
      <c r="L167" s="1776" t="str">
        <f t="shared" si="23"/>
        <v xml:space="preserve"> </v>
      </c>
      <c r="M167" s="1815" t="str">
        <f t="shared" si="24"/>
        <v xml:space="preserve"> </v>
      </c>
      <c r="N167" s="1815" t="str">
        <f t="shared" si="25"/>
        <v xml:space="preserve"> </v>
      </c>
    </row>
    <row r="168" spans="3:14">
      <c r="C168" s="1061" t="s">
        <v>689</v>
      </c>
      <c r="D168" s="1811" t="s">
        <v>339</v>
      </c>
      <c r="E168" s="1063" t="s">
        <v>1014</v>
      </c>
      <c r="F168" s="1064"/>
      <c r="G168" s="1063" t="s">
        <v>780</v>
      </c>
      <c r="H168" s="1065">
        <v>-5.8206772735047707E-12</v>
      </c>
      <c r="I168" s="1066" t="s">
        <v>160</v>
      </c>
      <c r="J168" s="1815" t="str">
        <f t="shared" si="21"/>
        <v xml:space="preserve"> </v>
      </c>
      <c r="K168" s="1776" t="str">
        <f t="shared" si="22"/>
        <v xml:space="preserve"> </v>
      </c>
      <c r="L168" s="1776">
        <f t="shared" si="23"/>
        <v>-5.8206772735047707E-12</v>
      </c>
      <c r="M168" s="1815" t="str">
        <f t="shared" si="24"/>
        <v xml:space="preserve"> </v>
      </c>
      <c r="N168" s="1815" t="str">
        <f t="shared" si="25"/>
        <v xml:space="preserve"> </v>
      </c>
    </row>
    <row r="169" spans="3:14">
      <c r="C169" s="1061" t="s">
        <v>689</v>
      </c>
      <c r="D169" s="1811" t="s">
        <v>339</v>
      </c>
      <c r="E169" s="1063" t="s">
        <v>1015</v>
      </c>
      <c r="F169" s="1064"/>
      <c r="G169" s="1063" t="s">
        <v>781</v>
      </c>
      <c r="H169" s="1065">
        <v>-653625</v>
      </c>
      <c r="I169" s="1066" t="s">
        <v>293</v>
      </c>
      <c r="J169" s="1815">
        <f t="shared" si="21"/>
        <v>-653625</v>
      </c>
      <c r="K169" s="1776" t="str">
        <f t="shared" si="22"/>
        <v xml:space="preserve"> </v>
      </c>
      <c r="L169" s="1776" t="str">
        <f t="shared" si="23"/>
        <v xml:space="preserve"> </v>
      </c>
      <c r="M169" s="1815" t="str">
        <f t="shared" si="24"/>
        <v xml:space="preserve"> </v>
      </c>
      <c r="N169" s="1815" t="str">
        <f t="shared" si="25"/>
        <v xml:space="preserve"> </v>
      </c>
    </row>
    <row r="170" spans="3:14">
      <c r="C170" s="1061" t="s">
        <v>689</v>
      </c>
      <c r="D170" s="1811" t="s">
        <v>339</v>
      </c>
      <c r="E170" s="1063" t="s">
        <v>1015</v>
      </c>
      <c r="F170" s="1064"/>
      <c r="G170" s="1063" t="s">
        <v>782</v>
      </c>
      <c r="H170" s="1065">
        <v>762650</v>
      </c>
      <c r="I170" s="1066" t="s">
        <v>293</v>
      </c>
      <c r="J170" s="1815">
        <f t="shared" si="21"/>
        <v>762650</v>
      </c>
      <c r="K170" s="1776" t="str">
        <f t="shared" si="22"/>
        <v xml:space="preserve"> </v>
      </c>
      <c r="L170" s="1776" t="str">
        <f t="shared" si="23"/>
        <v xml:space="preserve"> </v>
      </c>
      <c r="M170" s="1815" t="str">
        <f t="shared" si="24"/>
        <v xml:space="preserve"> </v>
      </c>
      <c r="N170" s="1815" t="str">
        <f t="shared" si="25"/>
        <v xml:space="preserve"> </v>
      </c>
    </row>
    <row r="171" spans="3:14">
      <c r="C171" s="1061" t="s">
        <v>689</v>
      </c>
      <c r="D171" s="1811" t="s">
        <v>339</v>
      </c>
      <c r="E171" s="1063" t="s">
        <v>783</v>
      </c>
      <c r="F171" s="1064"/>
      <c r="G171" s="1063" t="s">
        <v>784</v>
      </c>
      <c r="H171" s="1065">
        <v>-1500436.2519999999</v>
      </c>
      <c r="I171" s="1066" t="s">
        <v>293</v>
      </c>
      <c r="J171" s="1815">
        <f t="shared" si="21"/>
        <v>-1500436.2519999999</v>
      </c>
      <c r="K171" s="1776" t="str">
        <f t="shared" si="22"/>
        <v xml:space="preserve"> </v>
      </c>
      <c r="L171" s="1776" t="str">
        <f t="shared" si="23"/>
        <v xml:space="preserve"> </v>
      </c>
      <c r="M171" s="1815" t="str">
        <f t="shared" si="24"/>
        <v xml:space="preserve"> </v>
      </c>
      <c r="N171" s="1815" t="str">
        <f t="shared" si="25"/>
        <v xml:space="preserve"> </v>
      </c>
    </row>
    <row r="172" spans="3:14">
      <c r="C172" s="1061" t="s">
        <v>689</v>
      </c>
      <c r="D172" s="1811" t="s">
        <v>339</v>
      </c>
      <c r="E172" s="1063" t="s">
        <v>783</v>
      </c>
      <c r="F172" s="1064"/>
      <c r="G172" s="1063" t="s">
        <v>785</v>
      </c>
      <c r="H172" s="1065">
        <v>1233829</v>
      </c>
      <c r="I172" s="1066" t="s">
        <v>293</v>
      </c>
      <c r="J172" s="1815">
        <f t="shared" si="21"/>
        <v>1233829</v>
      </c>
      <c r="K172" s="1776" t="str">
        <f t="shared" si="22"/>
        <v xml:space="preserve"> </v>
      </c>
      <c r="L172" s="1776" t="str">
        <f t="shared" si="23"/>
        <v xml:space="preserve"> </v>
      </c>
      <c r="M172" s="1815" t="str">
        <f t="shared" si="24"/>
        <v xml:space="preserve"> </v>
      </c>
      <c r="N172" s="1815" t="str">
        <f t="shared" si="25"/>
        <v xml:space="preserve"> </v>
      </c>
    </row>
    <row r="173" spans="3:14">
      <c r="C173" s="1061" t="s">
        <v>689</v>
      </c>
      <c r="D173" s="1811" t="s">
        <v>339</v>
      </c>
      <c r="E173" s="1063" t="s">
        <v>786</v>
      </c>
      <c r="F173" s="1064"/>
      <c r="G173" s="1063" t="s">
        <v>787</v>
      </c>
      <c r="H173" s="1065">
        <v>18776.099999999999</v>
      </c>
      <c r="I173" s="1066" t="s">
        <v>293</v>
      </c>
      <c r="J173" s="1815">
        <f t="shared" si="21"/>
        <v>18776.099999999999</v>
      </c>
      <c r="K173" s="1776" t="str">
        <f t="shared" si="22"/>
        <v xml:space="preserve"> </v>
      </c>
      <c r="L173" s="1776" t="str">
        <f t="shared" si="23"/>
        <v xml:space="preserve"> </v>
      </c>
      <c r="M173" s="1815" t="str">
        <f t="shared" si="24"/>
        <v xml:space="preserve"> </v>
      </c>
      <c r="N173" s="1815" t="str">
        <f t="shared" si="25"/>
        <v xml:space="preserve"> </v>
      </c>
    </row>
    <row r="174" spans="3:14">
      <c r="C174" s="1061" t="s">
        <v>689</v>
      </c>
      <c r="D174" s="1811"/>
      <c r="E174" s="1063" t="s">
        <v>788</v>
      </c>
      <c r="F174" s="1064"/>
      <c r="G174" s="1063" t="s">
        <v>789</v>
      </c>
      <c r="H174" s="1065">
        <v>684813.02049999998</v>
      </c>
      <c r="I174" s="1066" t="s">
        <v>160</v>
      </c>
      <c r="J174" s="1815" t="str">
        <f t="shared" si="21"/>
        <v xml:space="preserve"> </v>
      </c>
      <c r="K174" s="1776" t="str">
        <f t="shared" si="22"/>
        <v xml:space="preserve"> </v>
      </c>
      <c r="L174" s="1776">
        <f t="shared" si="23"/>
        <v>684813.02049999998</v>
      </c>
      <c r="M174" s="1815" t="str">
        <f t="shared" si="24"/>
        <v xml:space="preserve"> </v>
      </c>
      <c r="N174" s="1815" t="str">
        <f t="shared" si="25"/>
        <v xml:space="preserve"> </v>
      </c>
    </row>
    <row r="175" spans="3:14">
      <c r="C175" s="1061" t="s">
        <v>689</v>
      </c>
      <c r="D175" s="1811"/>
      <c r="E175" s="1063" t="s">
        <v>790</v>
      </c>
      <c r="F175" s="1064"/>
      <c r="G175" s="1063" t="s">
        <v>791</v>
      </c>
      <c r="H175" s="1065">
        <v>124850.00499999999</v>
      </c>
      <c r="I175" s="1066" t="s">
        <v>293</v>
      </c>
      <c r="J175" s="1815">
        <f t="shared" si="21"/>
        <v>124850.00499999999</v>
      </c>
      <c r="K175" s="1776" t="str">
        <f t="shared" si="22"/>
        <v xml:space="preserve"> </v>
      </c>
      <c r="L175" s="1776" t="str">
        <f t="shared" si="23"/>
        <v xml:space="preserve"> </v>
      </c>
      <c r="M175" s="1815" t="str">
        <f t="shared" si="24"/>
        <v xml:space="preserve"> </v>
      </c>
      <c r="N175" s="1815" t="str">
        <f t="shared" si="25"/>
        <v xml:space="preserve"> </v>
      </c>
    </row>
    <row r="176" spans="3:14">
      <c r="C176" s="1061" t="s">
        <v>689</v>
      </c>
      <c r="D176" s="1811"/>
      <c r="E176" s="1063" t="s">
        <v>792</v>
      </c>
      <c r="F176" s="1064"/>
      <c r="G176" s="1063" t="s">
        <v>793</v>
      </c>
      <c r="H176" s="1065">
        <v>1930281.9969999997</v>
      </c>
      <c r="I176" s="1066" t="s">
        <v>293</v>
      </c>
      <c r="J176" s="1815">
        <f t="shared" si="21"/>
        <v>1930281.9969999997</v>
      </c>
      <c r="K176" s="1776" t="str">
        <f t="shared" si="22"/>
        <v xml:space="preserve"> </v>
      </c>
      <c r="L176" s="1776" t="str">
        <f t="shared" si="23"/>
        <v xml:space="preserve"> </v>
      </c>
      <c r="M176" s="1815" t="str">
        <f t="shared" si="24"/>
        <v xml:space="preserve"> </v>
      </c>
      <c r="N176" s="1815" t="str">
        <f t="shared" si="25"/>
        <v xml:space="preserve"> </v>
      </c>
    </row>
    <row r="177" spans="3:15">
      <c r="C177" s="1061" t="s">
        <v>689</v>
      </c>
      <c r="D177" s="1811"/>
      <c r="E177" s="1063" t="s">
        <v>1416</v>
      </c>
      <c r="F177" s="1064"/>
      <c r="G177" s="1126" t="s">
        <v>1450</v>
      </c>
      <c r="H177" s="1065">
        <v>107528.81149999998</v>
      </c>
      <c r="I177" s="1066" t="s">
        <v>293</v>
      </c>
      <c r="J177" s="1815">
        <f t="shared" si="21"/>
        <v>107528.81149999998</v>
      </c>
      <c r="K177" s="1776" t="str">
        <f t="shared" si="22"/>
        <v xml:space="preserve"> </v>
      </c>
      <c r="L177" s="1776" t="str">
        <f t="shared" si="23"/>
        <v xml:space="preserve"> </v>
      </c>
      <c r="M177" s="1815" t="str">
        <f t="shared" si="24"/>
        <v xml:space="preserve"> </v>
      </c>
      <c r="N177" s="1815" t="str">
        <f t="shared" si="25"/>
        <v xml:space="preserve"> </v>
      </c>
    </row>
    <row r="178" spans="3:15">
      <c r="C178" s="1061" t="s">
        <v>689</v>
      </c>
      <c r="D178" s="1811"/>
      <c r="E178" s="1063" t="s">
        <v>1417</v>
      </c>
      <c r="F178" s="1064"/>
      <c r="G178" s="1126" t="s">
        <v>1451</v>
      </c>
      <c r="H178" s="1065">
        <v>111579.7025</v>
      </c>
      <c r="I178" s="1066" t="s">
        <v>293</v>
      </c>
      <c r="J178" s="1815">
        <f t="shared" ref="J178" si="26">IF(I178="e",H178," ")</f>
        <v>111579.7025</v>
      </c>
      <c r="K178" s="1776" t="str">
        <f t="shared" ref="K178" si="27">IF($I178="T",$H178," ")</f>
        <v xml:space="preserve"> </v>
      </c>
      <c r="L178" s="1776" t="str">
        <f t="shared" ref="L178" si="28">IF($I178="PTD",$H178," ")</f>
        <v xml:space="preserve"> </v>
      </c>
      <c r="M178" s="1815" t="str">
        <f t="shared" ref="M178" si="29">IF($I178="T&amp;D",$H178," ")</f>
        <v xml:space="preserve"> </v>
      </c>
      <c r="N178" s="1815" t="str">
        <f t="shared" ref="N178" si="30">IF(I178="Labor",H178," ")</f>
        <v xml:space="preserve"> </v>
      </c>
    </row>
    <row r="179" spans="3:15">
      <c r="C179" s="1061"/>
      <c r="D179" s="1811"/>
      <c r="E179" s="1063"/>
      <c r="F179" s="1064"/>
      <c r="G179" s="1063"/>
      <c r="H179" s="1065"/>
      <c r="I179" s="1066"/>
      <c r="J179" s="1815" t="str">
        <f t="shared" ref="J179:J184" si="31">IF(I179="e",H179," ")</f>
        <v xml:space="preserve"> </v>
      </c>
      <c r="K179" s="1776" t="str">
        <f t="shared" ref="K179:K184" si="32">IF($I179="T",$H179," ")</f>
        <v xml:space="preserve"> </v>
      </c>
      <c r="L179" s="1776" t="str">
        <f t="shared" ref="L179:L184" si="33">IF($I179="PTD",$H179," ")</f>
        <v xml:space="preserve"> </v>
      </c>
      <c r="M179" s="1815" t="str">
        <f t="shared" ref="M179:M184" si="34">IF($I179="T&amp;D",$H179," ")</f>
        <v xml:space="preserve"> </v>
      </c>
      <c r="N179" s="1815" t="str">
        <f t="shared" ref="N179:N184" si="35">IF(I179="Labor",H179," ")</f>
        <v xml:space="preserve"> </v>
      </c>
    </row>
    <row r="180" spans="3:15">
      <c r="C180" s="1083">
        <v>1901002</v>
      </c>
      <c r="D180" s="1811"/>
      <c r="E180" s="1061" t="s">
        <v>827</v>
      </c>
      <c r="F180" s="1064"/>
      <c r="G180" s="1126" t="s">
        <v>1422</v>
      </c>
      <c r="H180" s="1065">
        <v>4625556.62</v>
      </c>
      <c r="I180" s="1066" t="s">
        <v>293</v>
      </c>
      <c r="J180" s="1815">
        <f t="shared" ref="J180" si="36">IF(I180="e",H180," ")</f>
        <v>4625556.62</v>
      </c>
      <c r="K180" s="1776" t="str">
        <f t="shared" si="32"/>
        <v xml:space="preserve"> </v>
      </c>
      <c r="L180" s="1776" t="str">
        <f t="shared" si="33"/>
        <v xml:space="preserve"> </v>
      </c>
      <c r="M180" s="1815" t="str">
        <f t="shared" si="34"/>
        <v xml:space="preserve"> </v>
      </c>
      <c r="N180" s="1815" t="str">
        <f t="shared" ref="N180" si="37">IF(I180="Labor",H180," ")</f>
        <v xml:space="preserve"> </v>
      </c>
    </row>
    <row r="181" spans="3:15">
      <c r="C181" s="1083">
        <v>1901002</v>
      </c>
      <c r="D181" s="1811"/>
      <c r="E181" s="1063" t="s">
        <v>972</v>
      </c>
      <c r="F181" s="1064"/>
      <c r="G181" s="1063" t="s">
        <v>651</v>
      </c>
      <c r="H181" s="1065">
        <v>0</v>
      </c>
      <c r="I181" s="1066" t="s">
        <v>293</v>
      </c>
      <c r="J181" s="1815">
        <f t="shared" ref="J181:J183" si="38">IF(I181="e",H181," ")</f>
        <v>0</v>
      </c>
      <c r="K181" s="1776" t="str">
        <f t="shared" si="32"/>
        <v xml:space="preserve"> </v>
      </c>
      <c r="L181" s="1776" t="str">
        <f t="shared" si="33"/>
        <v xml:space="preserve"> </v>
      </c>
      <c r="M181" s="1815" t="str">
        <f t="shared" si="34"/>
        <v xml:space="preserve"> </v>
      </c>
      <c r="N181" s="1815" t="str">
        <f t="shared" ref="N181:N183" si="39">IF(I181="Labor",H181," ")</f>
        <v xml:space="preserve"> </v>
      </c>
    </row>
    <row r="182" spans="3:15">
      <c r="C182" s="1083">
        <v>1901002</v>
      </c>
      <c r="D182" s="1796"/>
      <c r="E182" s="1061" t="s">
        <v>827</v>
      </c>
      <c r="F182" s="1064"/>
      <c r="G182" s="1126" t="s">
        <v>1423</v>
      </c>
      <c r="H182" s="1797">
        <v>42670706.390000008</v>
      </c>
      <c r="I182" s="1066" t="s">
        <v>293</v>
      </c>
      <c r="J182" s="1815">
        <f t="shared" si="38"/>
        <v>42670706.390000008</v>
      </c>
      <c r="K182" s="1776" t="str">
        <f t="shared" si="32"/>
        <v xml:space="preserve"> </v>
      </c>
      <c r="L182" s="1776" t="str">
        <f t="shared" si="33"/>
        <v xml:space="preserve"> </v>
      </c>
      <c r="M182" s="1815" t="str">
        <f t="shared" si="34"/>
        <v xml:space="preserve"> </v>
      </c>
      <c r="N182" s="1815" t="str">
        <f t="shared" si="39"/>
        <v xml:space="preserve"> </v>
      </c>
    </row>
    <row r="183" spans="3:15">
      <c r="C183" s="1083">
        <v>1901002</v>
      </c>
      <c r="D183" s="1824"/>
      <c r="E183" s="1061" t="s">
        <v>827</v>
      </c>
      <c r="F183" s="1064"/>
      <c r="G183" s="1126" t="s">
        <v>1424</v>
      </c>
      <c r="H183" s="964">
        <v>232368.05000000005</v>
      </c>
      <c r="I183" s="1066" t="s">
        <v>293</v>
      </c>
      <c r="J183" s="1815">
        <f t="shared" si="38"/>
        <v>232368.05000000005</v>
      </c>
      <c r="K183" s="1776" t="str">
        <f t="shared" si="32"/>
        <v xml:space="preserve"> </v>
      </c>
      <c r="L183" s="1776" t="str">
        <f t="shared" si="33"/>
        <v xml:space="preserve"> </v>
      </c>
      <c r="M183" s="1815" t="str">
        <f t="shared" si="34"/>
        <v xml:space="preserve"> </v>
      </c>
      <c r="N183" s="1815" t="str">
        <f t="shared" si="39"/>
        <v xml:space="preserve"> </v>
      </c>
    </row>
    <row r="184" spans="3:15">
      <c r="C184" s="1061"/>
      <c r="D184" s="1824"/>
      <c r="E184" s="1061"/>
      <c r="F184" s="1061"/>
      <c r="G184" s="1061"/>
      <c r="H184" s="964"/>
      <c r="I184" s="1066"/>
      <c r="J184" s="1815" t="str">
        <f t="shared" si="31"/>
        <v xml:space="preserve"> </v>
      </c>
      <c r="K184" s="1776" t="str">
        <f t="shared" si="32"/>
        <v xml:space="preserve"> </v>
      </c>
      <c r="L184" s="1776" t="str">
        <f t="shared" si="33"/>
        <v xml:space="preserve"> </v>
      </c>
      <c r="M184" s="1815" t="str">
        <f t="shared" si="34"/>
        <v xml:space="preserve"> </v>
      </c>
      <c r="N184" s="1815" t="str">
        <f t="shared" si="35"/>
        <v xml:space="preserve"> </v>
      </c>
    </row>
    <row r="185" spans="3:15">
      <c r="C185" s="779"/>
      <c r="D185" s="1802"/>
      <c r="E185" s="779"/>
      <c r="G185" s="779"/>
      <c r="H185" s="1825"/>
      <c r="I185" s="1776"/>
      <c r="J185" s="1805"/>
      <c r="K185" s="1805"/>
      <c r="L185" s="1776"/>
      <c r="M185" s="1805"/>
      <c r="N185" s="1805"/>
    </row>
    <row r="186" spans="3:15">
      <c r="C186" s="1116">
        <v>190.1</v>
      </c>
      <c r="D186" s="791"/>
      <c r="G186" s="1077" t="s">
        <v>161</v>
      </c>
      <c r="H186" s="1078">
        <f>SUM(H113:H184)</f>
        <v>143369811.375</v>
      </c>
      <c r="J186" s="1078">
        <f>SUM(J113:J184)</f>
        <v>127233155.78999998</v>
      </c>
      <c r="K186" s="1078">
        <f>SUM(K113:K184)</f>
        <v>0</v>
      </c>
      <c r="L186" s="1078">
        <f>SUM(L113:L184)</f>
        <v>5367423.9879999999</v>
      </c>
      <c r="M186" s="1078">
        <f>SUM(M113:M184)</f>
        <v>0</v>
      </c>
      <c r="N186" s="1078">
        <f>SUM(N113:N184)</f>
        <v>10769231.596999997</v>
      </c>
      <c r="O186" s="1068"/>
    </row>
    <row r="187" spans="3:15">
      <c r="G187" s="1823" t="s">
        <v>130</v>
      </c>
      <c r="H187" s="1820">
        <v>143369811</v>
      </c>
      <c r="I187" s="1804"/>
    </row>
    <row r="189" spans="3:15">
      <c r="J189" s="1810"/>
    </row>
    <row r="206" spans="3:8">
      <c r="C206" s="779"/>
      <c r="D206" s="1802"/>
      <c r="E206" s="779"/>
      <c r="G206" s="779"/>
      <c r="H206" s="1814"/>
    </row>
    <row r="242" spans="3:6">
      <c r="C242" s="779"/>
      <c r="D242" s="779"/>
      <c r="E242" s="779"/>
      <c r="F242" s="1793"/>
    </row>
    <row r="243" spans="3:6">
      <c r="C243" s="779"/>
      <c r="D243" s="779"/>
      <c r="E243" s="779"/>
    </row>
    <row r="244" spans="3:6">
      <c r="C244" s="779"/>
      <c r="D244" s="779"/>
      <c r="E244" s="779"/>
    </row>
    <row r="245" spans="3:6">
      <c r="C245" s="779"/>
      <c r="D245" s="779"/>
      <c r="E245" s="779"/>
    </row>
    <row r="246" spans="3:6">
      <c r="C246" s="779"/>
      <c r="D246" s="779"/>
      <c r="E246" s="779"/>
    </row>
    <row r="247" spans="3:6">
      <c r="C247" s="779"/>
      <c r="D247" s="779"/>
      <c r="E247" s="779"/>
    </row>
    <row r="248" spans="3:6">
      <c r="C248" s="779"/>
      <c r="D248" s="779"/>
      <c r="E248" s="779"/>
    </row>
    <row r="249" spans="3:6">
      <c r="C249" s="779"/>
      <c r="D249" s="779"/>
      <c r="E249" s="779"/>
    </row>
    <row r="250" spans="3:6">
      <c r="C250" s="779"/>
      <c r="D250" s="779"/>
      <c r="E250" s="779"/>
    </row>
    <row r="251" spans="3:6">
      <c r="C251" s="779"/>
      <c r="D251" s="779"/>
      <c r="E251" s="779"/>
    </row>
    <row r="252" spans="3:6">
      <c r="C252" s="779"/>
      <c r="D252" s="779"/>
      <c r="E252" s="779"/>
    </row>
    <row r="253" spans="3:6">
      <c r="C253" s="779"/>
      <c r="D253" s="779"/>
      <c r="E253" s="779"/>
    </row>
    <row r="254" spans="3:6">
      <c r="C254" s="779"/>
      <c r="D254" s="779"/>
      <c r="E254" s="779"/>
    </row>
    <row r="255" spans="3:6">
      <c r="C255" s="779"/>
      <c r="D255" s="779"/>
      <c r="E255" s="779"/>
    </row>
    <row r="256" spans="3:6">
      <c r="C256" s="779"/>
      <c r="D256" s="779"/>
      <c r="E256" s="779"/>
    </row>
    <row r="257" spans="1:17">
      <c r="C257" s="779"/>
      <c r="D257" s="779"/>
      <c r="E257" s="779"/>
    </row>
    <row r="258" spans="1:17">
      <c r="C258" s="779"/>
      <c r="D258" s="779"/>
      <c r="E258" s="779"/>
    </row>
    <row r="259" spans="1:17">
      <c r="C259" s="779"/>
      <c r="D259" s="779"/>
      <c r="E259" s="779"/>
    </row>
    <row r="260" spans="1:17">
      <c r="C260" s="779"/>
      <c r="D260" s="779"/>
      <c r="E260" s="779"/>
    </row>
    <row r="261" spans="1:17">
      <c r="D261" s="791"/>
    </row>
    <row r="262" spans="1:17">
      <c r="D262" s="791"/>
    </row>
    <row r="263" spans="1:17">
      <c r="D263" s="791"/>
    </row>
    <row r="264" spans="1:17">
      <c r="D264" s="791"/>
    </row>
    <row r="265" spans="1:17">
      <c r="D265" s="791"/>
    </row>
    <row r="266" spans="1:17">
      <c r="D266" s="791"/>
    </row>
    <row r="267" spans="1:17">
      <c r="D267" s="791"/>
    </row>
    <row r="268" spans="1:17">
      <c r="D268" s="791"/>
    </row>
    <row r="269" spans="1:17">
      <c r="D269" s="791"/>
    </row>
    <row r="270" spans="1:17">
      <c r="D270" s="791"/>
    </row>
    <row r="271" spans="1:17">
      <c r="D271" s="791"/>
    </row>
    <row r="272" spans="1:17" s="1794" customFormat="1">
      <c r="A272" s="791"/>
      <c r="B272" s="791"/>
      <c r="C272" s="791"/>
      <c r="D272" s="791"/>
      <c r="E272" s="791"/>
      <c r="F272" s="791"/>
      <c r="G272" s="791"/>
      <c r="I272" s="791"/>
      <c r="J272" s="791"/>
      <c r="K272" s="791"/>
      <c r="L272" s="791"/>
      <c r="M272" s="791"/>
      <c r="N272" s="791"/>
      <c r="O272" s="791"/>
      <c r="Q272" s="1793"/>
    </row>
    <row r="273" spans="1:17" s="1794" customFormat="1">
      <c r="A273" s="791"/>
      <c r="B273" s="791"/>
      <c r="C273" s="791"/>
      <c r="D273" s="791"/>
      <c r="E273" s="791"/>
      <c r="F273" s="791"/>
      <c r="G273" s="791"/>
      <c r="I273" s="791"/>
      <c r="J273" s="791"/>
      <c r="K273" s="791"/>
      <c r="L273" s="791"/>
      <c r="M273" s="791"/>
      <c r="N273" s="791"/>
      <c r="O273" s="791"/>
      <c r="Q273" s="1793"/>
    </row>
    <row r="274" spans="1:17" s="1794" customFormat="1">
      <c r="A274" s="791"/>
      <c r="B274" s="791"/>
      <c r="C274" s="791"/>
      <c r="D274" s="791"/>
      <c r="E274" s="791"/>
      <c r="F274" s="791"/>
      <c r="G274" s="791"/>
      <c r="I274" s="791"/>
      <c r="J274" s="791"/>
      <c r="K274" s="791"/>
      <c r="L274" s="791"/>
      <c r="M274" s="791"/>
      <c r="N274" s="791"/>
      <c r="O274" s="791"/>
      <c r="Q274" s="1793"/>
    </row>
    <row r="275" spans="1:17" s="1794" customFormat="1">
      <c r="A275" s="791"/>
      <c r="B275" s="791"/>
      <c r="C275" s="791"/>
      <c r="D275" s="791"/>
      <c r="E275" s="791"/>
      <c r="F275" s="791"/>
      <c r="G275" s="791"/>
      <c r="I275" s="791"/>
      <c r="J275" s="791"/>
      <c r="K275" s="791"/>
      <c r="L275" s="791"/>
      <c r="M275" s="791"/>
      <c r="N275" s="791"/>
      <c r="O275" s="791"/>
      <c r="Q275" s="1793"/>
    </row>
    <row r="276" spans="1:17" s="1794" customFormat="1">
      <c r="A276" s="791"/>
      <c r="B276" s="791"/>
      <c r="C276" s="791"/>
      <c r="D276" s="791"/>
      <c r="E276" s="791"/>
      <c r="F276" s="791"/>
      <c r="G276" s="791"/>
      <c r="I276" s="791"/>
      <c r="J276" s="791"/>
      <c r="K276" s="791"/>
      <c r="L276" s="791"/>
      <c r="M276" s="791"/>
      <c r="N276" s="791"/>
      <c r="O276" s="791"/>
      <c r="Q276" s="1793"/>
    </row>
    <row r="277" spans="1:17" s="1794" customFormat="1">
      <c r="A277" s="791"/>
      <c r="B277" s="791"/>
      <c r="C277" s="791"/>
      <c r="D277" s="791"/>
      <c r="E277" s="791"/>
      <c r="F277" s="791"/>
      <c r="G277" s="791"/>
      <c r="I277" s="791"/>
      <c r="J277" s="791"/>
      <c r="K277" s="791"/>
      <c r="L277" s="791"/>
      <c r="M277" s="791"/>
      <c r="N277" s="791"/>
      <c r="O277" s="791"/>
      <c r="Q277" s="1793"/>
    </row>
    <row r="278" spans="1:17" s="1794" customFormat="1">
      <c r="A278" s="791"/>
      <c r="B278" s="791"/>
      <c r="C278" s="779"/>
      <c r="D278" s="1802"/>
      <c r="E278" s="779"/>
      <c r="F278" s="779"/>
      <c r="G278" s="779"/>
      <c r="I278" s="791"/>
      <c r="J278" s="791"/>
      <c r="K278" s="791"/>
      <c r="L278" s="791"/>
      <c r="M278" s="791"/>
      <c r="N278" s="791"/>
      <c r="O278" s="791"/>
      <c r="Q278" s="1793"/>
    </row>
    <row r="279" spans="1:17" s="1794" customFormat="1">
      <c r="A279" s="791"/>
      <c r="B279" s="791"/>
      <c r="C279" s="779"/>
      <c r="D279" s="1802"/>
      <c r="E279" s="779"/>
      <c r="F279" s="779"/>
      <c r="G279" s="779"/>
      <c r="I279" s="791"/>
      <c r="J279" s="791"/>
      <c r="K279" s="791"/>
      <c r="L279" s="791"/>
      <c r="M279" s="791"/>
      <c r="N279" s="791"/>
      <c r="O279" s="791"/>
      <c r="Q279" s="1793"/>
    </row>
    <row r="280" spans="1:17" s="1794" customFormat="1">
      <c r="A280" s="791"/>
      <c r="B280" s="791"/>
      <c r="C280" s="779"/>
      <c r="D280" s="1802"/>
      <c r="E280" s="779"/>
      <c r="F280" s="779"/>
      <c r="G280" s="779"/>
      <c r="I280" s="791"/>
      <c r="J280" s="791"/>
      <c r="K280" s="791"/>
      <c r="L280" s="791"/>
      <c r="M280" s="791"/>
      <c r="N280" s="791"/>
      <c r="O280" s="791"/>
      <c r="Q280" s="1793"/>
    </row>
    <row r="281" spans="1:17" s="1794" customFormat="1">
      <c r="A281" s="791"/>
      <c r="B281" s="791"/>
      <c r="C281" s="779"/>
      <c r="D281" s="1802"/>
      <c r="E281" s="779"/>
      <c r="F281" s="779"/>
      <c r="G281" s="779"/>
      <c r="I281" s="791"/>
      <c r="J281" s="791"/>
      <c r="K281" s="791"/>
      <c r="L281" s="791"/>
      <c r="M281" s="791"/>
      <c r="N281" s="791"/>
      <c r="O281" s="791"/>
      <c r="Q281" s="1793"/>
    </row>
    <row r="282" spans="1:17" s="1794" customFormat="1">
      <c r="A282" s="791"/>
      <c r="B282" s="791"/>
      <c r="C282" s="779"/>
      <c r="D282" s="1802"/>
      <c r="E282" s="779"/>
      <c r="F282" s="779"/>
      <c r="G282" s="779"/>
      <c r="I282" s="791"/>
      <c r="J282" s="791"/>
      <c r="K282" s="791"/>
      <c r="L282" s="791"/>
      <c r="M282" s="791"/>
      <c r="N282" s="791"/>
      <c r="O282" s="791"/>
      <c r="Q282" s="1793"/>
    </row>
    <row r="283" spans="1:17" s="1794" customFormat="1">
      <c r="A283" s="791"/>
      <c r="B283" s="791"/>
      <c r="C283" s="779"/>
      <c r="D283" s="1802"/>
      <c r="E283" s="779"/>
      <c r="F283" s="779"/>
      <c r="G283" s="779"/>
      <c r="I283" s="791"/>
      <c r="J283" s="791"/>
      <c r="K283" s="791"/>
      <c r="L283" s="791"/>
      <c r="M283" s="791"/>
      <c r="N283" s="791"/>
      <c r="O283" s="791"/>
      <c r="Q283" s="1793"/>
    </row>
  </sheetData>
  <mergeCells count="5">
    <mergeCell ref="C3:N3"/>
    <mergeCell ref="C4:N4"/>
    <mergeCell ref="C5:N5"/>
    <mergeCell ref="C6:N6"/>
    <mergeCell ref="J8:N8"/>
  </mergeCells>
  <conditionalFormatting sqref="O186 O108 O50">
    <cfRule type="cellIs" dxfId="2" priority="1" stopIfTrue="1" operator="equal">
      <formula>FALSE</formula>
    </cfRule>
  </conditionalFormatting>
  <printOptions horizontalCentered="1"/>
  <pageMargins left="0.25" right="0.25" top="1" bottom="0.25" header="0.65" footer="0.5"/>
  <pageSetup scale="58" fitToHeight="0" orientation="landscape" horizontalDpi="1200" verticalDpi="1200" r:id="rId1"/>
  <headerFooter alignWithMargins="0">
    <oddHeader xml:space="preserve">&amp;R&amp;18AEP - SPP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topLeftCell="A28" zoomScale="90" zoomScaleNormal="90" zoomScaleSheetLayoutView="90" zoomScalePageLayoutView="90" workbookViewId="0">
      <selection activeCell="F53" sqref="F53"/>
    </sheetView>
  </sheetViews>
  <sheetFormatPr defaultColWidth="9.140625" defaultRowHeight="12.75"/>
  <cols>
    <col min="1" max="1" width="9.140625" style="916"/>
    <col min="2" max="2" width="33.7109375" style="916" customWidth="1"/>
    <col min="3" max="3" width="16" style="916" customWidth="1"/>
    <col min="4" max="4" width="16.85546875" style="916" customWidth="1"/>
    <col min="5" max="6" width="12" style="916" customWidth="1"/>
    <col min="7" max="7" width="15" style="916" customWidth="1"/>
    <col min="8" max="8" width="17.140625" style="916" customWidth="1"/>
    <col min="9" max="9" width="16.5703125" style="916" customWidth="1"/>
    <col min="10" max="16384" width="9.140625" style="916"/>
  </cols>
  <sheetData>
    <row r="1" spans="1:256" ht="15">
      <c r="A1" s="1007"/>
    </row>
    <row r="3" spans="1:256" ht="18" customHeight="1">
      <c r="A3" s="2455" t="str">
        <f>+'SWEPCO TCOS'!F4</f>
        <v xml:space="preserve">AEP West SPP Member Operating Companies </v>
      </c>
      <c r="B3" s="2455"/>
      <c r="C3" s="2455"/>
      <c r="D3" s="2455"/>
      <c r="E3" s="2455"/>
      <c r="F3" s="2455"/>
      <c r="G3" s="2455"/>
      <c r="H3" s="2455"/>
      <c r="I3" s="2455"/>
      <c r="J3" s="1133"/>
      <c r="K3" s="1133"/>
      <c r="L3" s="1133"/>
    </row>
    <row r="4" spans="1:256" ht="18">
      <c r="A4" s="2566" t="str">
        <f>+'SWEPCO TCOS'!F8</f>
        <v>SOUTHWESTERN ELECTRIC POWER COMPANY</v>
      </c>
      <c r="B4" s="2566"/>
      <c r="C4" s="2566"/>
      <c r="D4" s="2566"/>
      <c r="E4" s="2566"/>
      <c r="F4" s="2566"/>
      <c r="G4" s="2566"/>
      <c r="H4" s="2566"/>
      <c r="I4" s="2566"/>
      <c r="J4" s="1826"/>
      <c r="K4" s="1826"/>
      <c r="L4" s="1826"/>
    </row>
    <row r="5" spans="1:256" ht="18">
      <c r="A5" s="2561" t="s">
        <v>888</v>
      </c>
      <c r="B5" s="2561"/>
      <c r="C5" s="2561"/>
      <c r="D5" s="2561"/>
      <c r="E5" s="2561"/>
      <c r="F5" s="2561"/>
      <c r="G5" s="2561"/>
      <c r="H5" s="2561"/>
      <c r="I5" s="2561"/>
      <c r="J5" s="1826"/>
      <c r="K5" s="1826"/>
      <c r="L5" s="1826"/>
    </row>
    <row r="6" spans="1:256" ht="18">
      <c r="A6" s="2460" t="str">
        <f>"AS OF DECEMBER 31, "&amp;'SWEPCO TCOS'!N2&amp;""</f>
        <v>AS OF DECEMBER 31, 2018</v>
      </c>
      <c r="B6" s="2460"/>
      <c r="C6" s="2460"/>
      <c r="D6" s="2460"/>
      <c r="E6" s="2460"/>
      <c r="F6" s="2460"/>
      <c r="G6" s="2460"/>
      <c r="H6" s="2460"/>
      <c r="I6" s="2460"/>
      <c r="J6" s="1135"/>
      <c r="K6" s="1135"/>
      <c r="L6" s="1135"/>
    </row>
    <row r="7" spans="1:256" ht="15.75">
      <c r="A7" s="1827"/>
      <c r="B7" s="2567"/>
      <c r="C7" s="2567"/>
      <c r="D7" s="2567"/>
      <c r="E7" s="2567"/>
      <c r="F7" s="1828"/>
      <c r="G7" s="1828"/>
      <c r="H7" s="1828"/>
      <c r="I7" s="1828"/>
      <c r="J7" s="1827"/>
      <c r="K7" s="1827"/>
      <c r="L7" s="1827"/>
      <c r="M7" s="1827"/>
      <c r="N7" s="1827"/>
      <c r="O7" s="1827"/>
      <c r="P7" s="1827"/>
      <c r="Q7" s="1827"/>
      <c r="R7" s="1827"/>
      <c r="S7" s="1827"/>
      <c r="T7" s="1827"/>
      <c r="U7" s="1827"/>
      <c r="V7" s="1827"/>
      <c r="W7" s="1827"/>
      <c r="X7" s="1827"/>
      <c r="Y7" s="1827"/>
      <c r="Z7" s="1827"/>
      <c r="AA7" s="1827"/>
      <c r="AB7" s="1827"/>
      <c r="AC7" s="1827"/>
      <c r="AD7" s="1827"/>
      <c r="AE7" s="1827"/>
      <c r="AF7" s="1827"/>
      <c r="AG7" s="1827"/>
      <c r="AH7" s="1827"/>
      <c r="AI7" s="1827"/>
      <c r="AJ7" s="1827"/>
      <c r="AK7" s="1827"/>
      <c r="AL7" s="1827"/>
      <c r="AM7" s="1827"/>
      <c r="AN7" s="1827"/>
      <c r="AO7" s="1827"/>
      <c r="AP7" s="1827"/>
      <c r="AQ7" s="1827"/>
      <c r="AR7" s="1827"/>
      <c r="AS7" s="1827"/>
      <c r="AT7" s="1827"/>
      <c r="AU7" s="1827"/>
      <c r="AV7" s="1827"/>
      <c r="AW7" s="1827"/>
      <c r="AX7" s="1827"/>
      <c r="AY7" s="1827"/>
      <c r="AZ7" s="1827"/>
      <c r="BA7" s="1827"/>
      <c r="BB7" s="1827"/>
      <c r="BC7" s="1827"/>
      <c r="BD7" s="1827"/>
      <c r="BE7" s="1827"/>
      <c r="BF7" s="1827"/>
      <c r="BG7" s="1827"/>
      <c r="BH7" s="1827"/>
      <c r="BI7" s="1827"/>
      <c r="BJ7" s="1827"/>
      <c r="BK7" s="1827"/>
      <c r="BL7" s="1827"/>
      <c r="BM7" s="1827"/>
      <c r="BN7" s="1827"/>
      <c r="BO7" s="1827"/>
      <c r="BP7" s="1827"/>
      <c r="BQ7" s="1827"/>
      <c r="BR7" s="1827"/>
      <c r="BS7" s="1827"/>
      <c r="BT7" s="1827"/>
      <c r="BU7" s="1827"/>
      <c r="BV7" s="1827"/>
      <c r="BW7" s="1827"/>
      <c r="BX7" s="1827"/>
      <c r="BY7" s="1827"/>
      <c r="BZ7" s="1827"/>
      <c r="CA7" s="1827"/>
      <c r="CB7" s="1827"/>
      <c r="CC7" s="1827"/>
      <c r="CD7" s="1827"/>
      <c r="CE7" s="1827"/>
      <c r="CF7" s="1827"/>
      <c r="CG7" s="1827"/>
      <c r="CH7" s="1827"/>
      <c r="CI7" s="1827"/>
      <c r="CJ7" s="1827"/>
      <c r="CK7" s="1827"/>
      <c r="CL7" s="1827"/>
      <c r="CM7" s="1827"/>
      <c r="CN7" s="1827"/>
      <c r="CO7" s="1827"/>
      <c r="CP7" s="1827"/>
      <c r="CQ7" s="1827"/>
      <c r="CR7" s="1827"/>
      <c r="CS7" s="1827"/>
      <c r="CT7" s="1827"/>
      <c r="CU7" s="1827"/>
      <c r="CV7" s="1827"/>
      <c r="CW7" s="1827"/>
      <c r="CX7" s="1827"/>
      <c r="CY7" s="1827"/>
      <c r="CZ7" s="1827"/>
      <c r="DA7" s="1827"/>
      <c r="DB7" s="1827"/>
      <c r="DC7" s="1827"/>
      <c r="DD7" s="1827"/>
      <c r="DE7" s="1827"/>
      <c r="DF7" s="1827"/>
      <c r="DG7" s="1827"/>
      <c r="DH7" s="1827"/>
      <c r="DI7" s="1827"/>
      <c r="DJ7" s="1827"/>
      <c r="DK7" s="1827"/>
      <c r="DL7" s="1827"/>
      <c r="DM7" s="1827"/>
      <c r="DN7" s="1827"/>
      <c r="DO7" s="1827"/>
      <c r="DP7" s="1827"/>
      <c r="DQ7" s="1827"/>
      <c r="DR7" s="1827"/>
      <c r="DS7" s="1827"/>
      <c r="DT7" s="1827"/>
      <c r="DU7" s="1827"/>
      <c r="DV7" s="1827"/>
      <c r="DW7" s="1827"/>
      <c r="DX7" s="1827"/>
      <c r="DY7" s="1827"/>
      <c r="DZ7" s="1827"/>
      <c r="EA7" s="1827"/>
      <c r="EB7" s="1827"/>
      <c r="EC7" s="1827"/>
      <c r="ED7" s="1827"/>
      <c r="EE7" s="1827"/>
      <c r="EF7" s="1827"/>
      <c r="EG7" s="1827"/>
      <c r="EH7" s="1827"/>
      <c r="EI7" s="1827"/>
      <c r="EJ7" s="1827"/>
      <c r="EK7" s="1827"/>
      <c r="EL7" s="1827"/>
      <c r="EM7" s="1827"/>
      <c r="EN7" s="1827"/>
      <c r="EO7" s="1827"/>
      <c r="EP7" s="1827"/>
      <c r="EQ7" s="1827"/>
      <c r="ER7" s="1827"/>
      <c r="ES7" s="1827"/>
      <c r="ET7" s="1827"/>
      <c r="EU7" s="1827"/>
      <c r="EV7" s="1827"/>
      <c r="EW7" s="1827"/>
      <c r="EX7" s="1827"/>
      <c r="EY7" s="1827"/>
      <c r="EZ7" s="1827"/>
      <c r="FA7" s="1827"/>
      <c r="FB7" s="1827"/>
      <c r="FC7" s="1827"/>
      <c r="FD7" s="1827"/>
      <c r="FE7" s="1827"/>
      <c r="FF7" s="1827"/>
      <c r="FG7" s="1827"/>
      <c r="FH7" s="1827"/>
      <c r="FI7" s="1827"/>
      <c r="FJ7" s="1827"/>
      <c r="FK7" s="1827"/>
      <c r="FL7" s="1827"/>
      <c r="FM7" s="1827"/>
      <c r="FN7" s="1827"/>
      <c r="FO7" s="1827"/>
      <c r="FP7" s="1827"/>
      <c r="FQ7" s="1827"/>
      <c r="FR7" s="1827"/>
      <c r="FS7" s="1827"/>
      <c r="FT7" s="1827"/>
      <c r="FU7" s="1827"/>
      <c r="FV7" s="1827"/>
      <c r="FW7" s="1827"/>
      <c r="FX7" s="1827"/>
      <c r="FY7" s="1827"/>
      <c r="FZ7" s="1827"/>
      <c r="GA7" s="1827"/>
      <c r="GB7" s="1827"/>
      <c r="GC7" s="1827"/>
      <c r="GD7" s="1827"/>
      <c r="GE7" s="1827"/>
      <c r="GF7" s="1827"/>
      <c r="GG7" s="1827"/>
      <c r="GH7" s="1827"/>
      <c r="GI7" s="1827"/>
      <c r="GJ7" s="1827"/>
      <c r="GK7" s="1827"/>
      <c r="GL7" s="1827"/>
      <c r="GM7" s="1827"/>
      <c r="GN7" s="1827"/>
      <c r="GO7" s="1827"/>
      <c r="GP7" s="1827"/>
      <c r="GQ7" s="1827"/>
      <c r="GR7" s="1827"/>
      <c r="GS7" s="1827"/>
      <c r="GT7" s="1827"/>
      <c r="GU7" s="1827"/>
      <c r="GV7" s="1827"/>
      <c r="GW7" s="1827"/>
      <c r="GX7" s="1827"/>
      <c r="GY7" s="1827"/>
      <c r="GZ7" s="1827"/>
      <c r="HA7" s="1827"/>
      <c r="HB7" s="1827"/>
      <c r="HC7" s="1827"/>
      <c r="HD7" s="1827"/>
      <c r="HE7" s="1827"/>
      <c r="HF7" s="1827"/>
      <c r="HG7" s="1827"/>
      <c r="HH7" s="1827"/>
      <c r="HI7" s="1827"/>
      <c r="HJ7" s="1827"/>
      <c r="HK7" s="1827"/>
      <c r="HL7" s="1827"/>
      <c r="HM7" s="1827"/>
      <c r="HN7" s="1827"/>
      <c r="HO7" s="1827"/>
      <c r="HP7" s="1827"/>
      <c r="HQ7" s="1827"/>
      <c r="HR7" s="1827"/>
      <c r="HS7" s="1827"/>
      <c r="HT7" s="1827"/>
      <c r="HU7" s="1827"/>
      <c r="HV7" s="1827"/>
      <c r="HW7" s="1827"/>
      <c r="HX7" s="1827"/>
      <c r="HY7" s="1827"/>
      <c r="HZ7" s="1827"/>
      <c r="IA7" s="1827"/>
      <c r="IB7" s="1827"/>
      <c r="IC7" s="1827"/>
      <c r="ID7" s="1827"/>
      <c r="IE7" s="1827"/>
      <c r="IF7" s="1827"/>
      <c r="IG7" s="1827"/>
      <c r="IH7" s="1827"/>
      <c r="II7" s="1827"/>
      <c r="IJ7" s="1827"/>
      <c r="IK7" s="1827"/>
      <c r="IL7" s="1827"/>
      <c r="IM7" s="1827"/>
      <c r="IN7" s="1827"/>
      <c r="IO7" s="1827"/>
      <c r="IP7" s="1827"/>
      <c r="IQ7" s="1827"/>
      <c r="IR7" s="1827"/>
      <c r="IS7" s="1827"/>
      <c r="IT7" s="1827"/>
      <c r="IU7" s="1827"/>
      <c r="IV7" s="1827"/>
    </row>
    <row r="8" spans="1:256" ht="57" customHeight="1">
      <c r="A8" s="2568" t="s">
        <v>874</v>
      </c>
      <c r="B8" s="2568"/>
      <c r="C8" s="2568"/>
      <c r="D8" s="2568"/>
      <c r="E8" s="2568"/>
      <c r="F8" s="2568"/>
      <c r="G8" s="2568"/>
      <c r="H8" s="2568"/>
      <c r="I8" s="2568"/>
      <c r="J8" s="1827"/>
      <c r="K8" s="1827"/>
      <c r="L8" s="1827"/>
      <c r="M8" s="1827"/>
      <c r="N8" s="1827"/>
      <c r="O8" s="1827"/>
      <c r="P8" s="1827"/>
      <c r="Q8" s="1827"/>
      <c r="R8" s="1827"/>
      <c r="S8" s="1827"/>
      <c r="T8" s="1827"/>
      <c r="U8" s="1827"/>
      <c r="V8" s="1827"/>
      <c r="W8" s="1827"/>
      <c r="X8" s="1827"/>
      <c r="Y8" s="1827"/>
      <c r="Z8" s="1827"/>
      <c r="AA8" s="1827"/>
      <c r="AB8" s="1827"/>
      <c r="AC8" s="1827"/>
      <c r="AD8" s="1827"/>
      <c r="AE8" s="1827"/>
      <c r="AF8" s="1827"/>
      <c r="AG8" s="1827"/>
      <c r="AH8" s="1827"/>
      <c r="AI8" s="1827"/>
      <c r="AJ8" s="1827"/>
      <c r="AK8" s="1827"/>
      <c r="AL8" s="1827"/>
      <c r="AM8" s="1827"/>
      <c r="AN8" s="1827"/>
      <c r="AO8" s="1827"/>
      <c r="AP8" s="1827"/>
      <c r="AQ8" s="1827"/>
      <c r="AR8" s="1827"/>
      <c r="AS8" s="1827"/>
      <c r="AT8" s="1827"/>
      <c r="AU8" s="1827"/>
      <c r="AV8" s="1827"/>
      <c r="AW8" s="1827"/>
      <c r="AX8" s="1827"/>
      <c r="AY8" s="1827"/>
      <c r="AZ8" s="1827"/>
      <c r="BA8" s="1827"/>
      <c r="BB8" s="1827"/>
      <c r="BC8" s="1827"/>
      <c r="BD8" s="1827"/>
      <c r="BE8" s="1827"/>
      <c r="BF8" s="1827"/>
      <c r="BG8" s="1827"/>
      <c r="BH8" s="1827"/>
      <c r="BI8" s="1827"/>
      <c r="BJ8" s="1827"/>
      <c r="BK8" s="1827"/>
      <c r="BL8" s="1827"/>
      <c r="BM8" s="1827"/>
      <c r="BN8" s="1827"/>
      <c r="BO8" s="1827"/>
      <c r="BP8" s="1827"/>
      <c r="BQ8" s="1827"/>
      <c r="BR8" s="1827"/>
      <c r="BS8" s="1827"/>
      <c r="BT8" s="1827"/>
      <c r="BU8" s="1827"/>
      <c r="BV8" s="1827"/>
      <c r="BW8" s="1827"/>
      <c r="BX8" s="1827"/>
      <c r="BY8" s="1827"/>
      <c r="BZ8" s="1827"/>
      <c r="CA8" s="1827"/>
      <c r="CB8" s="1827"/>
      <c r="CC8" s="1827"/>
      <c r="CD8" s="1827"/>
      <c r="CE8" s="1827"/>
      <c r="CF8" s="1827"/>
      <c r="CG8" s="1827"/>
      <c r="CH8" s="1827"/>
      <c r="CI8" s="1827"/>
      <c r="CJ8" s="1827"/>
      <c r="CK8" s="1827"/>
      <c r="CL8" s="1827"/>
      <c r="CM8" s="1827"/>
      <c r="CN8" s="1827"/>
      <c r="CO8" s="1827"/>
      <c r="CP8" s="1827"/>
      <c r="CQ8" s="1827"/>
      <c r="CR8" s="1827"/>
      <c r="CS8" s="1827"/>
      <c r="CT8" s="1827"/>
      <c r="CU8" s="1827"/>
      <c r="CV8" s="1827"/>
      <c r="CW8" s="1827"/>
      <c r="CX8" s="1827"/>
      <c r="CY8" s="1827"/>
      <c r="CZ8" s="1827"/>
      <c r="DA8" s="1827"/>
      <c r="DB8" s="1827"/>
      <c r="DC8" s="1827"/>
      <c r="DD8" s="1827"/>
      <c r="DE8" s="1827"/>
      <c r="DF8" s="1827"/>
      <c r="DG8" s="1827"/>
      <c r="DH8" s="1827"/>
      <c r="DI8" s="1827"/>
      <c r="DJ8" s="1827"/>
      <c r="DK8" s="1827"/>
      <c r="DL8" s="1827"/>
      <c r="DM8" s="1827"/>
      <c r="DN8" s="1827"/>
      <c r="DO8" s="1827"/>
      <c r="DP8" s="1827"/>
      <c r="DQ8" s="1827"/>
      <c r="DR8" s="1827"/>
      <c r="DS8" s="1827"/>
      <c r="DT8" s="1827"/>
      <c r="DU8" s="1827"/>
      <c r="DV8" s="1827"/>
      <c r="DW8" s="1827"/>
      <c r="DX8" s="1827"/>
      <c r="DY8" s="1827"/>
      <c r="DZ8" s="1827"/>
      <c r="EA8" s="1827"/>
      <c r="EB8" s="1827"/>
      <c r="EC8" s="1827"/>
      <c r="ED8" s="1827"/>
      <c r="EE8" s="1827"/>
      <c r="EF8" s="1827"/>
      <c r="EG8" s="1827"/>
      <c r="EH8" s="1827"/>
      <c r="EI8" s="1827"/>
      <c r="EJ8" s="1827"/>
      <c r="EK8" s="1827"/>
      <c r="EL8" s="1827"/>
      <c r="EM8" s="1827"/>
      <c r="EN8" s="1827"/>
      <c r="EO8" s="1827"/>
      <c r="EP8" s="1827"/>
      <c r="EQ8" s="1827"/>
      <c r="ER8" s="1827"/>
      <c r="ES8" s="1827"/>
      <c r="ET8" s="1827"/>
      <c r="EU8" s="1827"/>
      <c r="EV8" s="1827"/>
      <c r="EW8" s="1827"/>
      <c r="EX8" s="1827"/>
      <c r="EY8" s="1827"/>
      <c r="EZ8" s="1827"/>
      <c r="FA8" s="1827"/>
      <c r="FB8" s="1827"/>
      <c r="FC8" s="1827"/>
      <c r="FD8" s="1827"/>
      <c r="FE8" s="1827"/>
      <c r="FF8" s="1827"/>
      <c r="FG8" s="1827"/>
      <c r="FH8" s="1827"/>
      <c r="FI8" s="1827"/>
      <c r="FJ8" s="1827"/>
      <c r="FK8" s="1827"/>
      <c r="FL8" s="1827"/>
      <c r="FM8" s="1827"/>
      <c r="FN8" s="1827"/>
      <c r="FO8" s="1827"/>
      <c r="FP8" s="1827"/>
      <c r="FQ8" s="1827"/>
      <c r="FR8" s="1827"/>
      <c r="FS8" s="1827"/>
      <c r="FT8" s="1827"/>
      <c r="FU8" s="1827"/>
      <c r="FV8" s="1827"/>
      <c r="FW8" s="1827"/>
      <c r="FX8" s="1827"/>
      <c r="FY8" s="1827"/>
      <c r="FZ8" s="1827"/>
      <c r="GA8" s="1827"/>
      <c r="GB8" s="1827"/>
      <c r="GC8" s="1827"/>
      <c r="GD8" s="1827"/>
      <c r="GE8" s="1827"/>
      <c r="GF8" s="1827"/>
      <c r="GG8" s="1827"/>
      <c r="GH8" s="1827"/>
      <c r="GI8" s="1827"/>
      <c r="GJ8" s="1827"/>
      <c r="GK8" s="1827"/>
      <c r="GL8" s="1827"/>
      <c r="GM8" s="1827"/>
      <c r="GN8" s="1827"/>
      <c r="GO8" s="1827"/>
      <c r="GP8" s="1827"/>
      <c r="GQ8" s="1827"/>
      <c r="GR8" s="1827"/>
      <c r="GS8" s="1827"/>
      <c r="GT8" s="1827"/>
      <c r="GU8" s="1827"/>
      <c r="GV8" s="1827"/>
      <c r="GW8" s="1827"/>
      <c r="GX8" s="1827"/>
      <c r="GY8" s="1827"/>
      <c r="GZ8" s="1827"/>
      <c r="HA8" s="1827"/>
      <c r="HB8" s="1827"/>
      <c r="HC8" s="1827"/>
      <c r="HD8" s="1827"/>
      <c r="HE8" s="1827"/>
      <c r="HF8" s="1827"/>
      <c r="HG8" s="1827"/>
      <c r="HH8" s="1827"/>
      <c r="HI8" s="1827"/>
      <c r="HJ8" s="1827"/>
      <c r="HK8" s="1827"/>
      <c r="HL8" s="1827"/>
      <c r="HM8" s="1827"/>
      <c r="HN8" s="1827"/>
      <c r="HO8" s="1827"/>
      <c r="HP8" s="1827"/>
      <c r="HQ8" s="1827"/>
      <c r="HR8" s="1827"/>
      <c r="HS8" s="1827"/>
      <c r="HT8" s="1827"/>
      <c r="HU8" s="1827"/>
      <c r="HV8" s="1827"/>
      <c r="HW8" s="1827"/>
      <c r="HX8" s="1827"/>
      <c r="HY8" s="1827"/>
      <c r="HZ8" s="1827"/>
      <c r="IA8" s="1827"/>
      <c r="IB8" s="1827"/>
      <c r="IC8" s="1827"/>
      <c r="ID8" s="1827"/>
      <c r="IE8" s="1827"/>
      <c r="IF8" s="1827"/>
      <c r="IG8" s="1827"/>
      <c r="IH8" s="1827"/>
      <c r="II8" s="1827"/>
      <c r="IJ8" s="1827"/>
      <c r="IK8" s="1827"/>
      <c r="IL8" s="1827"/>
      <c r="IM8" s="1827"/>
      <c r="IN8" s="1827"/>
      <c r="IO8" s="1827"/>
      <c r="IP8" s="1827"/>
      <c r="IQ8" s="1827"/>
      <c r="IR8" s="1827"/>
      <c r="IS8" s="1827"/>
      <c r="IT8" s="1827"/>
      <c r="IU8" s="1827"/>
      <c r="IV8" s="1827"/>
    </row>
    <row r="9" spans="1:256">
      <c r="B9" s="1829"/>
      <c r="C9" s="1829"/>
      <c r="D9" s="1829"/>
      <c r="E9" s="1829"/>
      <c r="F9" s="1829"/>
      <c r="G9" s="1829"/>
      <c r="H9" s="1829"/>
      <c r="I9" s="1829"/>
      <c r="J9" s="1827"/>
      <c r="K9" s="1827"/>
      <c r="L9" s="1827"/>
      <c r="M9" s="1827"/>
      <c r="N9" s="1827"/>
      <c r="O9" s="1827"/>
      <c r="P9" s="1827"/>
      <c r="Q9" s="1827"/>
      <c r="R9" s="1827"/>
      <c r="S9" s="1827"/>
      <c r="T9" s="1827"/>
      <c r="U9" s="1827"/>
      <c r="V9" s="1827"/>
      <c r="W9" s="1827"/>
      <c r="X9" s="1827"/>
      <c r="Y9" s="1827"/>
      <c r="Z9" s="1827"/>
      <c r="AA9" s="1827"/>
      <c r="AB9" s="1827"/>
      <c r="AC9" s="1827"/>
      <c r="AD9" s="1827"/>
      <c r="AE9" s="1827"/>
      <c r="AF9" s="1827"/>
      <c r="AG9" s="1827"/>
      <c r="AH9" s="1827"/>
      <c r="AI9" s="1827"/>
      <c r="AJ9" s="1827"/>
      <c r="AK9" s="1827"/>
      <c r="AL9" s="1827"/>
      <c r="AM9" s="1827"/>
      <c r="AN9" s="1827"/>
      <c r="AO9" s="1827"/>
      <c r="AP9" s="1827"/>
      <c r="AQ9" s="1827"/>
      <c r="AR9" s="1827"/>
      <c r="AS9" s="1827"/>
      <c r="AT9" s="1827"/>
      <c r="AU9" s="1827"/>
      <c r="AV9" s="1827"/>
      <c r="AW9" s="1827"/>
      <c r="AX9" s="1827"/>
      <c r="AY9" s="1827"/>
      <c r="AZ9" s="1827"/>
      <c r="BA9" s="1827"/>
      <c r="BB9" s="1827"/>
      <c r="BC9" s="1827"/>
      <c r="BD9" s="1827"/>
      <c r="BE9" s="1827"/>
      <c r="BF9" s="1827"/>
      <c r="BG9" s="1827"/>
      <c r="BH9" s="1827"/>
      <c r="BI9" s="1827"/>
      <c r="BJ9" s="1827"/>
      <c r="BK9" s="1827"/>
      <c r="BL9" s="1827"/>
      <c r="BM9" s="1827"/>
      <c r="BN9" s="1827"/>
      <c r="BO9" s="1827"/>
      <c r="BP9" s="1827"/>
      <c r="BQ9" s="1827"/>
      <c r="BR9" s="1827"/>
      <c r="BS9" s="1827"/>
      <c r="BT9" s="1827"/>
      <c r="BU9" s="1827"/>
      <c r="BV9" s="1827"/>
      <c r="BW9" s="1827"/>
      <c r="BX9" s="1827"/>
      <c r="BY9" s="1827"/>
      <c r="BZ9" s="1827"/>
      <c r="CA9" s="1827"/>
      <c r="CB9" s="1827"/>
      <c r="CC9" s="1827"/>
      <c r="CD9" s="1827"/>
      <c r="CE9" s="1827"/>
      <c r="CF9" s="1827"/>
      <c r="CG9" s="1827"/>
      <c r="CH9" s="1827"/>
      <c r="CI9" s="1827"/>
      <c r="CJ9" s="1827"/>
      <c r="CK9" s="1827"/>
      <c r="CL9" s="1827"/>
      <c r="CM9" s="1827"/>
      <c r="CN9" s="1827"/>
      <c r="CO9" s="1827"/>
      <c r="CP9" s="1827"/>
      <c r="CQ9" s="1827"/>
      <c r="CR9" s="1827"/>
      <c r="CS9" s="1827"/>
      <c r="CT9" s="1827"/>
      <c r="CU9" s="1827"/>
      <c r="CV9" s="1827"/>
      <c r="CW9" s="1827"/>
      <c r="CX9" s="1827"/>
      <c r="CY9" s="1827"/>
      <c r="CZ9" s="1827"/>
      <c r="DA9" s="1827"/>
      <c r="DB9" s="1827"/>
      <c r="DC9" s="1827"/>
      <c r="DD9" s="1827"/>
      <c r="DE9" s="1827"/>
      <c r="DF9" s="1827"/>
      <c r="DG9" s="1827"/>
      <c r="DH9" s="1827"/>
      <c r="DI9" s="1827"/>
      <c r="DJ9" s="1827"/>
      <c r="DK9" s="1827"/>
      <c r="DL9" s="1827"/>
      <c r="DM9" s="1827"/>
      <c r="DN9" s="1827"/>
      <c r="DO9" s="1827"/>
      <c r="DP9" s="1827"/>
      <c r="DQ9" s="1827"/>
      <c r="DR9" s="1827"/>
      <c r="DS9" s="1827"/>
      <c r="DT9" s="1827"/>
      <c r="DU9" s="1827"/>
      <c r="DV9" s="1827"/>
      <c r="DW9" s="1827"/>
      <c r="DX9" s="1827"/>
      <c r="DY9" s="1827"/>
      <c r="DZ9" s="1827"/>
      <c r="EA9" s="1827"/>
      <c r="EB9" s="1827"/>
      <c r="EC9" s="1827"/>
      <c r="ED9" s="1827"/>
      <c r="EE9" s="1827"/>
      <c r="EF9" s="1827"/>
      <c r="EG9" s="1827"/>
      <c r="EH9" s="1827"/>
      <c r="EI9" s="1827"/>
      <c r="EJ9" s="1827"/>
      <c r="EK9" s="1827"/>
      <c r="EL9" s="1827"/>
      <c r="EM9" s="1827"/>
      <c r="EN9" s="1827"/>
      <c r="EO9" s="1827"/>
      <c r="EP9" s="1827"/>
      <c r="EQ9" s="1827"/>
      <c r="ER9" s="1827"/>
      <c r="ES9" s="1827"/>
      <c r="ET9" s="1827"/>
      <c r="EU9" s="1827"/>
      <c r="EV9" s="1827"/>
      <c r="EW9" s="1827"/>
      <c r="EX9" s="1827"/>
      <c r="EY9" s="1827"/>
      <c r="EZ9" s="1827"/>
      <c r="FA9" s="1827"/>
      <c r="FB9" s="1827"/>
      <c r="FC9" s="1827"/>
      <c r="FD9" s="1827"/>
      <c r="FE9" s="1827"/>
      <c r="FF9" s="1827"/>
      <c r="FG9" s="1827"/>
      <c r="FH9" s="1827"/>
      <c r="FI9" s="1827"/>
      <c r="FJ9" s="1827"/>
      <c r="FK9" s="1827"/>
      <c r="FL9" s="1827"/>
      <c r="FM9" s="1827"/>
      <c r="FN9" s="1827"/>
      <c r="FO9" s="1827"/>
      <c r="FP9" s="1827"/>
      <c r="FQ9" s="1827"/>
      <c r="FR9" s="1827"/>
      <c r="FS9" s="1827"/>
      <c r="FT9" s="1827"/>
      <c r="FU9" s="1827"/>
      <c r="FV9" s="1827"/>
      <c r="FW9" s="1827"/>
      <c r="FX9" s="1827"/>
      <c r="FY9" s="1827"/>
      <c r="FZ9" s="1827"/>
      <c r="GA9" s="1827"/>
      <c r="GB9" s="1827"/>
      <c r="GC9" s="1827"/>
      <c r="GD9" s="1827"/>
      <c r="GE9" s="1827"/>
      <c r="GF9" s="1827"/>
      <c r="GG9" s="1827"/>
      <c r="GH9" s="1827"/>
      <c r="GI9" s="1827"/>
      <c r="GJ9" s="1827"/>
      <c r="GK9" s="1827"/>
      <c r="GL9" s="1827"/>
      <c r="GM9" s="1827"/>
      <c r="GN9" s="1827"/>
      <c r="GO9" s="1827"/>
      <c r="GP9" s="1827"/>
      <c r="GQ9" s="1827"/>
      <c r="GR9" s="1827"/>
      <c r="GS9" s="1827"/>
      <c r="GT9" s="1827"/>
      <c r="GU9" s="1827"/>
      <c r="GV9" s="1827"/>
      <c r="GW9" s="1827"/>
      <c r="GX9" s="1827"/>
      <c r="GY9" s="1827"/>
      <c r="GZ9" s="1827"/>
      <c r="HA9" s="1827"/>
      <c r="HB9" s="1827"/>
      <c r="HC9" s="1827"/>
      <c r="HD9" s="1827"/>
      <c r="HE9" s="1827"/>
      <c r="HF9" s="1827"/>
      <c r="HG9" s="1827"/>
      <c r="HH9" s="1827"/>
      <c r="HI9" s="1827"/>
      <c r="HJ9" s="1827"/>
      <c r="HK9" s="1827"/>
      <c r="HL9" s="1827"/>
      <c r="HM9" s="1827"/>
      <c r="HN9" s="1827"/>
      <c r="HO9" s="1827"/>
      <c r="HP9" s="1827"/>
      <c r="HQ9" s="1827"/>
      <c r="HR9" s="1827"/>
      <c r="HS9" s="1827"/>
      <c r="HT9" s="1827"/>
      <c r="HU9" s="1827"/>
      <c r="HV9" s="1827"/>
      <c r="HW9" s="1827"/>
      <c r="HX9" s="1827"/>
      <c r="HY9" s="1827"/>
      <c r="HZ9" s="1827"/>
      <c r="IA9" s="1827"/>
      <c r="IB9" s="1827"/>
      <c r="IC9" s="1827"/>
      <c r="ID9" s="1827"/>
      <c r="IE9" s="1827"/>
      <c r="IF9" s="1827"/>
      <c r="IG9" s="1827"/>
      <c r="IH9" s="1827"/>
      <c r="II9" s="1827"/>
      <c r="IJ9" s="1827"/>
      <c r="IK9" s="1827"/>
      <c r="IL9" s="1827"/>
      <c r="IM9" s="1827"/>
      <c r="IN9" s="1827"/>
      <c r="IO9" s="1827"/>
      <c r="IP9" s="1827"/>
      <c r="IQ9" s="1827"/>
      <c r="IR9" s="1827"/>
      <c r="IS9" s="1827"/>
      <c r="IT9" s="1827"/>
      <c r="IU9" s="1827"/>
      <c r="IV9" s="1827"/>
    </row>
    <row r="10" spans="1:256">
      <c r="A10" s="1830" t="s">
        <v>873</v>
      </c>
      <c r="B10" s="1829"/>
      <c r="C10" s="1827"/>
      <c r="D10" s="1829"/>
      <c r="E10" s="2564" t="s">
        <v>347</v>
      </c>
      <c r="F10" s="2564"/>
      <c r="G10" s="1829"/>
      <c r="H10" s="1829"/>
      <c r="I10" s="1829"/>
      <c r="J10" s="1827"/>
      <c r="K10" s="1827"/>
      <c r="L10" s="1827"/>
      <c r="M10" s="1827"/>
      <c r="N10" s="1827"/>
      <c r="O10" s="1827"/>
      <c r="P10" s="1827"/>
      <c r="Q10" s="1827"/>
      <c r="R10" s="1827"/>
      <c r="S10" s="1827"/>
      <c r="T10" s="1827"/>
      <c r="U10" s="1827"/>
      <c r="V10" s="1827"/>
      <c r="W10" s="1827"/>
      <c r="X10" s="1827"/>
      <c r="Y10" s="1827"/>
      <c r="Z10" s="1827"/>
      <c r="AA10" s="1827"/>
      <c r="AB10" s="1827"/>
      <c r="AC10" s="1827"/>
      <c r="AD10" s="1827"/>
      <c r="AE10" s="1827"/>
      <c r="AF10" s="1827"/>
      <c r="AG10" s="1827"/>
      <c r="AH10" s="1827"/>
      <c r="AI10" s="1827"/>
      <c r="AJ10" s="1827"/>
      <c r="AK10" s="1827"/>
      <c r="AL10" s="1827"/>
      <c r="AM10" s="1827"/>
      <c r="AN10" s="1827"/>
      <c r="AO10" s="1827"/>
      <c r="AP10" s="1827"/>
      <c r="AQ10" s="1827"/>
      <c r="AR10" s="1827"/>
      <c r="AS10" s="1827"/>
      <c r="AT10" s="1827"/>
      <c r="AU10" s="1827"/>
      <c r="AV10" s="1827"/>
      <c r="AW10" s="1827"/>
      <c r="AX10" s="1827"/>
      <c r="AY10" s="1827"/>
      <c r="AZ10" s="1827"/>
      <c r="BA10" s="1827"/>
      <c r="BB10" s="1827"/>
      <c r="BC10" s="1827"/>
      <c r="BD10" s="1827"/>
      <c r="BE10" s="1827"/>
      <c r="BF10" s="1827"/>
      <c r="BG10" s="1827"/>
      <c r="BH10" s="1827"/>
      <c r="BI10" s="1827"/>
      <c r="BJ10" s="1827"/>
      <c r="BK10" s="1827"/>
      <c r="BL10" s="1827"/>
      <c r="BM10" s="1827"/>
      <c r="BN10" s="1827"/>
      <c r="BO10" s="1827"/>
      <c r="BP10" s="1827"/>
      <c r="BQ10" s="1827"/>
      <c r="BR10" s="1827"/>
      <c r="BS10" s="1827"/>
      <c r="BT10" s="1827"/>
      <c r="BU10" s="1827"/>
      <c r="BV10" s="1827"/>
      <c r="BW10" s="1827"/>
      <c r="BX10" s="1827"/>
      <c r="BY10" s="1827"/>
      <c r="BZ10" s="1827"/>
      <c r="CA10" s="1827"/>
      <c r="CB10" s="1827"/>
      <c r="CC10" s="1827"/>
      <c r="CD10" s="1827"/>
      <c r="CE10" s="1827"/>
      <c r="CF10" s="1827"/>
      <c r="CG10" s="1827"/>
      <c r="CH10" s="1827"/>
      <c r="CI10" s="1827"/>
      <c r="CJ10" s="1827"/>
      <c r="CK10" s="1827"/>
      <c r="CL10" s="1827"/>
      <c r="CM10" s="1827"/>
      <c r="CN10" s="1827"/>
      <c r="CO10" s="1827"/>
      <c r="CP10" s="1827"/>
      <c r="CQ10" s="1827"/>
      <c r="CR10" s="1827"/>
      <c r="CS10" s="1827"/>
      <c r="CT10" s="1827"/>
      <c r="CU10" s="1827"/>
      <c r="CV10" s="1827"/>
      <c r="CW10" s="1827"/>
      <c r="CX10" s="1827"/>
      <c r="CY10" s="1827"/>
      <c r="CZ10" s="1827"/>
      <c r="DA10" s="1827"/>
      <c r="DB10" s="1827"/>
      <c r="DC10" s="1827"/>
      <c r="DD10" s="1827"/>
      <c r="DE10" s="1827"/>
      <c r="DF10" s="1827"/>
      <c r="DG10" s="1827"/>
      <c r="DH10" s="1827"/>
      <c r="DI10" s="1827"/>
      <c r="DJ10" s="1827"/>
      <c r="DK10" s="1827"/>
      <c r="DL10" s="1827"/>
      <c r="DM10" s="1827"/>
      <c r="DN10" s="1827"/>
      <c r="DO10" s="1827"/>
      <c r="DP10" s="1827"/>
      <c r="DQ10" s="1827"/>
      <c r="DR10" s="1827"/>
      <c r="DS10" s="1827"/>
      <c r="DT10" s="1827"/>
      <c r="DU10" s="1827"/>
      <c r="DV10" s="1827"/>
      <c r="DW10" s="1827"/>
      <c r="DX10" s="1827"/>
      <c r="DY10" s="1827"/>
      <c r="DZ10" s="1827"/>
      <c r="EA10" s="1827"/>
      <c r="EB10" s="1827"/>
      <c r="EC10" s="1827"/>
      <c r="ED10" s="1827"/>
      <c r="EE10" s="1827"/>
      <c r="EF10" s="1827"/>
      <c r="EG10" s="1827"/>
      <c r="EH10" s="1827"/>
      <c r="EI10" s="1827"/>
      <c r="EJ10" s="1827"/>
      <c r="EK10" s="1827"/>
      <c r="EL10" s="1827"/>
      <c r="EM10" s="1827"/>
      <c r="EN10" s="1827"/>
      <c r="EO10" s="1827"/>
      <c r="EP10" s="1827"/>
      <c r="EQ10" s="1827"/>
      <c r="ER10" s="1827"/>
      <c r="ES10" s="1827"/>
      <c r="ET10" s="1827"/>
      <c r="EU10" s="1827"/>
      <c r="EV10" s="1827"/>
      <c r="EW10" s="1827"/>
      <c r="EX10" s="1827"/>
      <c r="EY10" s="1827"/>
      <c r="EZ10" s="1827"/>
      <c r="FA10" s="1827"/>
      <c r="FB10" s="1827"/>
      <c r="FC10" s="1827"/>
      <c r="FD10" s="1827"/>
      <c r="FE10" s="1827"/>
      <c r="FF10" s="1827"/>
      <c r="FG10" s="1827"/>
      <c r="FH10" s="1827"/>
      <c r="FI10" s="1827"/>
      <c r="FJ10" s="1827"/>
      <c r="FK10" s="1827"/>
      <c r="FL10" s="1827"/>
      <c r="FM10" s="1827"/>
      <c r="FN10" s="1827"/>
      <c r="FO10" s="1827"/>
      <c r="FP10" s="1827"/>
      <c r="FQ10" s="1827"/>
      <c r="FR10" s="1827"/>
      <c r="FS10" s="1827"/>
      <c r="FT10" s="1827"/>
      <c r="FU10" s="1827"/>
      <c r="FV10" s="1827"/>
      <c r="FW10" s="1827"/>
      <c r="FX10" s="1827"/>
      <c r="FY10" s="1827"/>
      <c r="FZ10" s="1827"/>
      <c r="GA10" s="1827"/>
      <c r="GB10" s="1827"/>
      <c r="GC10" s="1827"/>
      <c r="GD10" s="1827"/>
      <c r="GE10" s="1827"/>
      <c r="GF10" s="1827"/>
      <c r="GG10" s="1827"/>
      <c r="GH10" s="1827"/>
      <c r="GI10" s="1827"/>
      <c r="GJ10" s="1827"/>
      <c r="GK10" s="1827"/>
      <c r="GL10" s="1827"/>
      <c r="GM10" s="1827"/>
      <c r="GN10" s="1827"/>
      <c r="GO10" s="1827"/>
      <c r="GP10" s="1827"/>
      <c r="GQ10" s="1827"/>
      <c r="GR10" s="1827"/>
      <c r="GS10" s="1827"/>
      <c r="GT10" s="1827"/>
      <c r="GU10" s="1827"/>
      <c r="GV10" s="1827"/>
      <c r="GW10" s="1827"/>
      <c r="GX10" s="1827"/>
      <c r="GY10" s="1827"/>
      <c r="GZ10" s="1827"/>
      <c r="HA10" s="1827"/>
      <c r="HB10" s="1827"/>
      <c r="HC10" s="1827"/>
      <c r="HD10" s="1827"/>
      <c r="HE10" s="1827"/>
      <c r="HF10" s="1827"/>
      <c r="HG10" s="1827"/>
      <c r="HH10" s="1827"/>
      <c r="HI10" s="1827"/>
      <c r="HJ10" s="1827"/>
      <c r="HK10" s="1827"/>
      <c r="HL10" s="1827"/>
      <c r="HM10" s="1827"/>
      <c r="HN10" s="1827"/>
      <c r="HO10" s="1827"/>
      <c r="HP10" s="1827"/>
      <c r="HQ10" s="1827"/>
      <c r="HR10" s="1827"/>
      <c r="HS10" s="1827"/>
      <c r="HT10" s="1827"/>
      <c r="HU10" s="1827"/>
      <c r="HV10" s="1827"/>
      <c r="HW10" s="1827"/>
      <c r="HX10" s="1827"/>
      <c r="HY10" s="1827"/>
      <c r="HZ10" s="1827"/>
      <c r="IA10" s="1827"/>
      <c r="IB10" s="1827"/>
      <c r="IC10" s="1827"/>
      <c r="ID10" s="1827"/>
      <c r="IE10" s="1827"/>
      <c r="IF10" s="1827"/>
      <c r="IG10" s="1827"/>
      <c r="IH10" s="1827"/>
      <c r="II10" s="1827"/>
      <c r="IJ10" s="1827"/>
      <c r="IK10" s="1827"/>
      <c r="IL10" s="1827"/>
      <c r="IM10" s="1827"/>
      <c r="IN10" s="1827"/>
      <c r="IO10" s="1827"/>
      <c r="IP10" s="1827"/>
      <c r="IQ10" s="1827"/>
      <c r="IR10" s="1827"/>
      <c r="IS10" s="1827"/>
      <c r="IT10" s="1827"/>
      <c r="IU10" s="1827"/>
      <c r="IV10" s="1827"/>
    </row>
    <row r="11" spans="1:256">
      <c r="A11" s="1831">
        <v>1</v>
      </c>
      <c r="B11" s="1832" t="s">
        <v>1340</v>
      </c>
      <c r="C11" s="1832"/>
      <c r="D11" s="1832"/>
      <c r="E11" s="1832" t="s">
        <v>526</v>
      </c>
      <c r="F11" s="1829"/>
      <c r="G11" s="1827"/>
      <c r="H11" s="964">
        <f>+'SWEPCO WS C-1 ADIT EOY'!H59*0</f>
        <v>0</v>
      </c>
      <c r="I11" s="1829"/>
      <c r="J11" s="1827"/>
      <c r="K11" s="1827"/>
      <c r="L11" s="1827"/>
      <c r="M11" s="1827"/>
      <c r="N11" s="1827"/>
      <c r="O11" s="1827"/>
      <c r="P11" s="1827"/>
      <c r="Q11" s="1827"/>
      <c r="R11" s="1827"/>
      <c r="S11" s="1827"/>
      <c r="T11" s="1827"/>
      <c r="U11" s="1827"/>
      <c r="V11" s="1827"/>
      <c r="W11" s="1827"/>
      <c r="X11" s="1827"/>
      <c r="Y11" s="1827"/>
      <c r="Z11" s="1827"/>
      <c r="AA11" s="1827"/>
      <c r="AB11" s="1827"/>
      <c r="AC11" s="1827"/>
      <c r="AD11" s="1827"/>
      <c r="AE11" s="1827"/>
      <c r="AF11" s="1827"/>
      <c r="AG11" s="1827"/>
      <c r="AH11" s="1827"/>
      <c r="AI11" s="1827"/>
      <c r="AJ11" s="1827"/>
      <c r="AK11" s="1827"/>
      <c r="AL11" s="1827"/>
      <c r="AM11" s="1827"/>
      <c r="AN11" s="1827"/>
      <c r="AO11" s="1827"/>
      <c r="AP11" s="1827"/>
      <c r="AQ11" s="1827"/>
      <c r="AR11" s="1827"/>
      <c r="AS11" s="1827"/>
      <c r="AT11" s="1827"/>
      <c r="AU11" s="1827"/>
      <c r="AV11" s="1827"/>
      <c r="AW11" s="1827"/>
      <c r="AX11" s="1827"/>
      <c r="AY11" s="1827"/>
      <c r="AZ11" s="1827"/>
      <c r="BA11" s="1827"/>
      <c r="BB11" s="1827"/>
      <c r="BC11" s="1827"/>
      <c r="BD11" s="1827"/>
      <c r="BE11" s="1827"/>
      <c r="BF11" s="1827"/>
      <c r="BG11" s="1827"/>
      <c r="BH11" s="1827"/>
      <c r="BI11" s="1827"/>
      <c r="BJ11" s="1827"/>
      <c r="BK11" s="1827"/>
      <c r="BL11" s="1827"/>
      <c r="BM11" s="1827"/>
      <c r="BN11" s="1827"/>
      <c r="BO11" s="1827"/>
      <c r="BP11" s="1827"/>
      <c r="BQ11" s="1827"/>
      <c r="BR11" s="1827"/>
      <c r="BS11" s="1827"/>
      <c r="BT11" s="1827"/>
      <c r="BU11" s="1827"/>
      <c r="BV11" s="1827"/>
      <c r="BW11" s="1827"/>
      <c r="BX11" s="1827"/>
      <c r="BY11" s="1827"/>
      <c r="BZ11" s="1827"/>
      <c r="CA11" s="1827"/>
      <c r="CB11" s="1827"/>
      <c r="CC11" s="1827"/>
      <c r="CD11" s="1827"/>
      <c r="CE11" s="1827"/>
      <c r="CF11" s="1827"/>
      <c r="CG11" s="1827"/>
      <c r="CH11" s="1827"/>
      <c r="CI11" s="1827"/>
      <c r="CJ11" s="1827"/>
      <c r="CK11" s="1827"/>
      <c r="CL11" s="1827"/>
      <c r="CM11" s="1827"/>
      <c r="CN11" s="1827"/>
      <c r="CO11" s="1827"/>
      <c r="CP11" s="1827"/>
      <c r="CQ11" s="1827"/>
      <c r="CR11" s="1827"/>
      <c r="CS11" s="1827"/>
      <c r="CT11" s="1827"/>
      <c r="CU11" s="1827"/>
      <c r="CV11" s="1827"/>
      <c r="CW11" s="1827"/>
      <c r="CX11" s="1827"/>
      <c r="CY11" s="1827"/>
      <c r="CZ11" s="1827"/>
      <c r="DA11" s="1827"/>
      <c r="DB11" s="1827"/>
      <c r="DC11" s="1827"/>
      <c r="DD11" s="1827"/>
      <c r="DE11" s="1827"/>
      <c r="DF11" s="1827"/>
      <c r="DG11" s="1827"/>
      <c r="DH11" s="1827"/>
      <c r="DI11" s="1827"/>
      <c r="DJ11" s="1827"/>
      <c r="DK11" s="1827"/>
      <c r="DL11" s="1827"/>
      <c r="DM11" s="1827"/>
      <c r="DN11" s="1827"/>
      <c r="DO11" s="1827"/>
      <c r="DP11" s="1827"/>
      <c r="DQ11" s="1827"/>
      <c r="DR11" s="1827"/>
      <c r="DS11" s="1827"/>
      <c r="DT11" s="1827"/>
      <c r="DU11" s="1827"/>
      <c r="DV11" s="1827"/>
      <c r="DW11" s="1827"/>
      <c r="DX11" s="1827"/>
      <c r="DY11" s="1827"/>
      <c r="DZ11" s="1827"/>
      <c r="EA11" s="1827"/>
      <c r="EB11" s="1827"/>
      <c r="EC11" s="1827"/>
      <c r="ED11" s="1827"/>
      <c r="EE11" s="1827"/>
      <c r="EF11" s="1827"/>
      <c r="EG11" s="1827"/>
      <c r="EH11" s="1827"/>
      <c r="EI11" s="1827"/>
      <c r="EJ11" s="1827"/>
      <c r="EK11" s="1827"/>
      <c r="EL11" s="1827"/>
      <c r="EM11" s="1827"/>
      <c r="EN11" s="1827"/>
      <c r="EO11" s="1827"/>
      <c r="EP11" s="1827"/>
      <c r="EQ11" s="1827"/>
      <c r="ER11" s="1827"/>
      <c r="ES11" s="1827"/>
      <c r="ET11" s="1827"/>
      <c r="EU11" s="1827"/>
      <c r="EV11" s="1827"/>
      <c r="EW11" s="1827"/>
      <c r="EX11" s="1827"/>
      <c r="EY11" s="1827"/>
      <c r="EZ11" s="1827"/>
      <c r="FA11" s="1827"/>
      <c r="FB11" s="1827"/>
      <c r="FC11" s="1827"/>
      <c r="FD11" s="1827"/>
      <c r="FE11" s="1827"/>
      <c r="FF11" s="1827"/>
      <c r="FG11" s="1827"/>
      <c r="FH11" s="1827"/>
      <c r="FI11" s="1827"/>
      <c r="FJ11" s="1827"/>
      <c r="FK11" s="1827"/>
      <c r="FL11" s="1827"/>
      <c r="FM11" s="1827"/>
      <c r="FN11" s="1827"/>
      <c r="FO11" s="1827"/>
      <c r="FP11" s="1827"/>
      <c r="FQ11" s="1827"/>
      <c r="FR11" s="1827"/>
      <c r="FS11" s="1827"/>
      <c r="FT11" s="1827"/>
      <c r="FU11" s="1827"/>
      <c r="FV11" s="1827"/>
      <c r="FW11" s="1827"/>
      <c r="FX11" s="1827"/>
      <c r="FY11" s="1827"/>
      <c r="FZ11" s="1827"/>
      <c r="GA11" s="1827"/>
      <c r="GB11" s="1827"/>
      <c r="GC11" s="1827"/>
      <c r="GD11" s="1827"/>
      <c r="GE11" s="1827"/>
      <c r="GF11" s="1827"/>
      <c r="GG11" s="1827"/>
      <c r="GH11" s="1827"/>
      <c r="GI11" s="1827"/>
      <c r="GJ11" s="1827"/>
      <c r="GK11" s="1827"/>
      <c r="GL11" s="1827"/>
      <c r="GM11" s="1827"/>
      <c r="GN11" s="1827"/>
      <c r="GO11" s="1827"/>
      <c r="GP11" s="1827"/>
      <c r="GQ11" s="1827"/>
      <c r="GR11" s="1827"/>
      <c r="GS11" s="1827"/>
      <c r="GT11" s="1827"/>
      <c r="GU11" s="1827"/>
      <c r="GV11" s="1827"/>
      <c r="GW11" s="1827"/>
      <c r="GX11" s="1827"/>
      <c r="GY11" s="1827"/>
      <c r="GZ11" s="1827"/>
      <c r="HA11" s="1827"/>
      <c r="HB11" s="1827"/>
      <c r="HC11" s="1827"/>
      <c r="HD11" s="1827"/>
      <c r="HE11" s="1827"/>
      <c r="HF11" s="1827"/>
      <c r="HG11" s="1827"/>
      <c r="HH11" s="1827"/>
      <c r="HI11" s="1827"/>
      <c r="HJ11" s="1827"/>
      <c r="HK11" s="1827"/>
      <c r="HL11" s="1827"/>
      <c r="HM11" s="1827"/>
      <c r="HN11" s="1827"/>
      <c r="HO11" s="1827"/>
      <c r="HP11" s="1827"/>
      <c r="HQ11" s="1827"/>
      <c r="HR11" s="1827"/>
      <c r="HS11" s="1827"/>
      <c r="HT11" s="1827"/>
      <c r="HU11" s="1827"/>
      <c r="HV11" s="1827"/>
      <c r="HW11" s="1827"/>
      <c r="HX11" s="1827"/>
      <c r="HY11" s="1827"/>
      <c r="HZ11" s="1827"/>
      <c r="IA11" s="1827"/>
      <c r="IB11" s="1827"/>
      <c r="IC11" s="1827"/>
      <c r="ID11" s="1827"/>
      <c r="IE11" s="1827"/>
      <c r="IF11" s="1827"/>
      <c r="IG11" s="1827"/>
      <c r="IH11" s="1827"/>
      <c r="II11" s="1827"/>
      <c r="IJ11" s="1827"/>
      <c r="IK11" s="1827"/>
      <c r="IL11" s="1827"/>
      <c r="IM11" s="1827"/>
      <c r="IN11" s="1827"/>
      <c r="IO11" s="1827"/>
      <c r="IP11" s="1827"/>
      <c r="IQ11" s="1827"/>
      <c r="IR11" s="1827"/>
      <c r="IS11" s="1827"/>
      <c r="IT11" s="1827"/>
      <c r="IU11" s="1827"/>
      <c r="IV11" s="1827"/>
    </row>
    <row r="12" spans="1:256">
      <c r="A12" s="1831">
        <f>+A11+1</f>
        <v>2</v>
      </c>
      <c r="B12" s="1832" t="s">
        <v>1341</v>
      </c>
      <c r="C12" s="1832"/>
      <c r="D12" s="1832"/>
      <c r="E12" s="1832" t="s">
        <v>527</v>
      </c>
      <c r="F12" s="1829"/>
      <c r="G12" s="1827"/>
      <c r="H12" s="964">
        <f>+'SWEPCO WS C-2 ADIT BOY'!H50*0</f>
        <v>0</v>
      </c>
      <c r="I12" s="1829"/>
      <c r="J12" s="1827"/>
      <c r="K12" s="1827"/>
      <c r="L12" s="1827"/>
      <c r="M12" s="1827"/>
      <c r="N12" s="1827"/>
      <c r="O12" s="1827"/>
      <c r="P12" s="1827"/>
      <c r="Q12" s="1827"/>
      <c r="R12" s="1827"/>
      <c r="S12" s="1827"/>
      <c r="T12" s="1827"/>
      <c r="U12" s="1827"/>
      <c r="V12" s="1827"/>
      <c r="W12" s="1827"/>
      <c r="X12" s="1827"/>
      <c r="Y12" s="1827"/>
      <c r="Z12" s="1827"/>
      <c r="AA12" s="1827"/>
      <c r="AB12" s="1827"/>
      <c r="AC12" s="1827"/>
      <c r="AD12" s="1827"/>
      <c r="AE12" s="1827"/>
      <c r="AF12" s="1827"/>
      <c r="AG12" s="1827"/>
      <c r="AH12" s="1827"/>
      <c r="AI12" s="1827"/>
      <c r="AJ12" s="1827"/>
      <c r="AK12" s="1827"/>
      <c r="AL12" s="1827"/>
      <c r="AM12" s="1827"/>
      <c r="AN12" s="1827"/>
      <c r="AO12" s="1827"/>
      <c r="AP12" s="1827"/>
      <c r="AQ12" s="1827"/>
      <c r="AR12" s="1827"/>
      <c r="AS12" s="1827"/>
      <c r="AT12" s="1827"/>
      <c r="AU12" s="1827"/>
      <c r="AV12" s="1827"/>
      <c r="AW12" s="1827"/>
      <c r="AX12" s="1827"/>
      <c r="AY12" s="1827"/>
      <c r="AZ12" s="1827"/>
      <c r="BA12" s="1827"/>
      <c r="BB12" s="1827"/>
      <c r="BC12" s="1827"/>
      <c r="BD12" s="1827"/>
      <c r="BE12" s="1827"/>
      <c r="BF12" s="1827"/>
      <c r="BG12" s="1827"/>
      <c r="BH12" s="1827"/>
      <c r="BI12" s="1827"/>
      <c r="BJ12" s="1827"/>
      <c r="BK12" s="1827"/>
      <c r="BL12" s="1827"/>
      <c r="BM12" s="1827"/>
      <c r="BN12" s="1827"/>
      <c r="BO12" s="1827"/>
      <c r="BP12" s="1827"/>
      <c r="BQ12" s="1827"/>
      <c r="BR12" s="1827"/>
      <c r="BS12" s="1827"/>
      <c r="BT12" s="1827"/>
      <c r="BU12" s="1827"/>
      <c r="BV12" s="1827"/>
      <c r="BW12" s="1827"/>
      <c r="BX12" s="1827"/>
      <c r="BY12" s="1827"/>
      <c r="BZ12" s="1827"/>
      <c r="CA12" s="1827"/>
      <c r="CB12" s="1827"/>
      <c r="CC12" s="1827"/>
      <c r="CD12" s="1827"/>
      <c r="CE12" s="1827"/>
      <c r="CF12" s="1827"/>
      <c r="CG12" s="1827"/>
      <c r="CH12" s="1827"/>
      <c r="CI12" s="1827"/>
      <c r="CJ12" s="1827"/>
      <c r="CK12" s="1827"/>
      <c r="CL12" s="1827"/>
      <c r="CM12" s="1827"/>
      <c r="CN12" s="1827"/>
      <c r="CO12" s="1827"/>
      <c r="CP12" s="1827"/>
      <c r="CQ12" s="1827"/>
      <c r="CR12" s="1827"/>
      <c r="CS12" s="1827"/>
      <c r="CT12" s="1827"/>
      <c r="CU12" s="1827"/>
      <c r="CV12" s="1827"/>
      <c r="CW12" s="1827"/>
      <c r="CX12" s="1827"/>
      <c r="CY12" s="1827"/>
      <c r="CZ12" s="1827"/>
      <c r="DA12" s="1827"/>
      <c r="DB12" s="1827"/>
      <c r="DC12" s="1827"/>
      <c r="DD12" s="1827"/>
      <c r="DE12" s="1827"/>
      <c r="DF12" s="1827"/>
      <c r="DG12" s="1827"/>
      <c r="DH12" s="1827"/>
      <c r="DI12" s="1827"/>
      <c r="DJ12" s="1827"/>
      <c r="DK12" s="1827"/>
      <c r="DL12" s="1827"/>
      <c r="DM12" s="1827"/>
      <c r="DN12" s="1827"/>
      <c r="DO12" s="1827"/>
      <c r="DP12" s="1827"/>
      <c r="DQ12" s="1827"/>
      <c r="DR12" s="1827"/>
      <c r="DS12" s="1827"/>
      <c r="DT12" s="1827"/>
      <c r="DU12" s="1827"/>
      <c r="DV12" s="1827"/>
      <c r="DW12" s="1827"/>
      <c r="DX12" s="1827"/>
      <c r="DY12" s="1827"/>
      <c r="DZ12" s="1827"/>
      <c r="EA12" s="1827"/>
      <c r="EB12" s="1827"/>
      <c r="EC12" s="1827"/>
      <c r="ED12" s="1827"/>
      <c r="EE12" s="1827"/>
      <c r="EF12" s="1827"/>
      <c r="EG12" s="1827"/>
      <c r="EH12" s="1827"/>
      <c r="EI12" s="1827"/>
      <c r="EJ12" s="1827"/>
      <c r="EK12" s="1827"/>
      <c r="EL12" s="1827"/>
      <c r="EM12" s="1827"/>
      <c r="EN12" s="1827"/>
      <c r="EO12" s="1827"/>
      <c r="EP12" s="1827"/>
      <c r="EQ12" s="1827"/>
      <c r="ER12" s="1827"/>
      <c r="ES12" s="1827"/>
      <c r="ET12" s="1827"/>
      <c r="EU12" s="1827"/>
      <c r="EV12" s="1827"/>
      <c r="EW12" s="1827"/>
      <c r="EX12" s="1827"/>
      <c r="EY12" s="1827"/>
      <c r="EZ12" s="1827"/>
      <c r="FA12" s="1827"/>
      <c r="FB12" s="1827"/>
      <c r="FC12" s="1827"/>
      <c r="FD12" s="1827"/>
      <c r="FE12" s="1827"/>
      <c r="FF12" s="1827"/>
      <c r="FG12" s="1827"/>
      <c r="FH12" s="1827"/>
      <c r="FI12" s="1827"/>
      <c r="FJ12" s="1827"/>
      <c r="FK12" s="1827"/>
      <c r="FL12" s="1827"/>
      <c r="FM12" s="1827"/>
      <c r="FN12" s="1827"/>
      <c r="FO12" s="1827"/>
      <c r="FP12" s="1827"/>
      <c r="FQ12" s="1827"/>
      <c r="FR12" s="1827"/>
      <c r="FS12" s="1827"/>
      <c r="FT12" s="1827"/>
      <c r="FU12" s="1827"/>
      <c r="FV12" s="1827"/>
      <c r="FW12" s="1827"/>
      <c r="FX12" s="1827"/>
      <c r="FY12" s="1827"/>
      <c r="FZ12" s="1827"/>
      <c r="GA12" s="1827"/>
      <c r="GB12" s="1827"/>
      <c r="GC12" s="1827"/>
      <c r="GD12" s="1827"/>
      <c r="GE12" s="1827"/>
      <c r="GF12" s="1827"/>
      <c r="GG12" s="1827"/>
      <c r="GH12" s="1827"/>
      <c r="GI12" s="1827"/>
      <c r="GJ12" s="1827"/>
      <c r="GK12" s="1827"/>
      <c r="GL12" s="1827"/>
      <c r="GM12" s="1827"/>
      <c r="GN12" s="1827"/>
      <c r="GO12" s="1827"/>
      <c r="GP12" s="1827"/>
      <c r="GQ12" s="1827"/>
      <c r="GR12" s="1827"/>
      <c r="GS12" s="1827"/>
      <c r="GT12" s="1827"/>
      <c r="GU12" s="1827"/>
      <c r="GV12" s="1827"/>
      <c r="GW12" s="1827"/>
      <c r="GX12" s="1827"/>
      <c r="GY12" s="1827"/>
      <c r="GZ12" s="1827"/>
      <c r="HA12" s="1827"/>
      <c r="HB12" s="1827"/>
      <c r="HC12" s="1827"/>
      <c r="HD12" s="1827"/>
      <c r="HE12" s="1827"/>
      <c r="HF12" s="1827"/>
      <c r="HG12" s="1827"/>
      <c r="HH12" s="1827"/>
      <c r="HI12" s="1827"/>
      <c r="HJ12" s="1827"/>
      <c r="HK12" s="1827"/>
      <c r="HL12" s="1827"/>
      <c r="HM12" s="1827"/>
      <c r="HN12" s="1827"/>
      <c r="HO12" s="1827"/>
      <c r="HP12" s="1827"/>
      <c r="HQ12" s="1827"/>
      <c r="HR12" s="1827"/>
      <c r="HS12" s="1827"/>
      <c r="HT12" s="1827"/>
      <c r="HU12" s="1827"/>
      <c r="HV12" s="1827"/>
      <c r="HW12" s="1827"/>
      <c r="HX12" s="1827"/>
      <c r="HY12" s="1827"/>
      <c r="HZ12" s="1827"/>
      <c r="IA12" s="1827"/>
      <c r="IB12" s="1827"/>
      <c r="IC12" s="1827"/>
      <c r="ID12" s="1827"/>
      <c r="IE12" s="1827"/>
      <c r="IF12" s="1827"/>
      <c r="IG12" s="1827"/>
      <c r="IH12" s="1827"/>
      <c r="II12" s="1827"/>
      <c r="IJ12" s="1827"/>
      <c r="IK12" s="1827"/>
      <c r="IL12" s="1827"/>
      <c r="IM12" s="1827"/>
      <c r="IN12" s="1827"/>
      <c r="IO12" s="1827"/>
      <c r="IP12" s="1827"/>
      <c r="IQ12" s="1827"/>
      <c r="IR12" s="1827"/>
      <c r="IS12" s="1827"/>
      <c r="IT12" s="1827"/>
      <c r="IU12" s="1827"/>
      <c r="IV12" s="1827"/>
    </row>
    <row r="13" spans="1:256">
      <c r="A13" s="1831">
        <f>+A12+1</f>
        <v>3</v>
      </c>
      <c r="B13" s="1832" t="s">
        <v>510</v>
      </c>
      <c r="C13" s="1832"/>
      <c r="D13" s="1832"/>
      <c r="E13" s="1832" t="str">
        <f>"Line "&amp;A11&amp;" less Line "&amp;A12</f>
        <v>Line 1 less Line 2</v>
      </c>
      <c r="F13" s="1829"/>
      <c r="G13" s="1827"/>
      <c r="H13" s="1833">
        <f>+H11-H12</f>
        <v>0</v>
      </c>
      <c r="I13" s="1829"/>
      <c r="J13" s="1827"/>
      <c r="K13" s="1827"/>
      <c r="L13" s="1827"/>
      <c r="M13" s="1827"/>
      <c r="N13" s="1827"/>
      <c r="O13" s="1827"/>
      <c r="P13" s="1827"/>
      <c r="Q13" s="1827"/>
      <c r="R13" s="1827"/>
      <c r="S13" s="1827"/>
      <c r="T13" s="1827"/>
      <c r="U13" s="1827"/>
      <c r="V13" s="1827"/>
      <c r="W13" s="1827"/>
      <c r="X13" s="1827"/>
      <c r="Y13" s="1827"/>
      <c r="Z13" s="1827"/>
      <c r="AA13" s="1827"/>
      <c r="AB13" s="1827"/>
      <c r="AC13" s="1827"/>
      <c r="AD13" s="1827"/>
      <c r="AE13" s="1827"/>
      <c r="AF13" s="1827"/>
      <c r="AG13" s="1827"/>
      <c r="AH13" s="1827"/>
      <c r="AI13" s="1827"/>
      <c r="AJ13" s="1827"/>
      <c r="AK13" s="1827"/>
      <c r="AL13" s="1827"/>
      <c r="AM13" s="1827"/>
      <c r="AN13" s="1827"/>
      <c r="AO13" s="1827"/>
      <c r="AP13" s="1827"/>
      <c r="AQ13" s="1827"/>
      <c r="AR13" s="1827"/>
      <c r="AS13" s="1827"/>
      <c r="AT13" s="1827"/>
      <c r="AU13" s="1827"/>
      <c r="AV13" s="1827"/>
      <c r="AW13" s="1827"/>
      <c r="AX13" s="1827"/>
      <c r="AY13" s="1827"/>
      <c r="AZ13" s="1827"/>
      <c r="BA13" s="1827"/>
      <c r="BB13" s="1827"/>
      <c r="BC13" s="1827"/>
      <c r="BD13" s="1827"/>
      <c r="BE13" s="1827"/>
      <c r="BF13" s="1827"/>
      <c r="BG13" s="1827"/>
      <c r="BH13" s="1827"/>
      <c r="BI13" s="1827"/>
      <c r="BJ13" s="1827"/>
      <c r="BK13" s="1827"/>
      <c r="BL13" s="1827"/>
      <c r="BM13" s="1827"/>
      <c r="BN13" s="1827"/>
      <c r="BO13" s="1827"/>
      <c r="BP13" s="1827"/>
      <c r="BQ13" s="1827"/>
      <c r="BR13" s="1827"/>
      <c r="BS13" s="1827"/>
      <c r="BT13" s="1827"/>
      <c r="BU13" s="1827"/>
      <c r="BV13" s="1827"/>
      <c r="BW13" s="1827"/>
      <c r="BX13" s="1827"/>
      <c r="BY13" s="1827"/>
      <c r="BZ13" s="1827"/>
      <c r="CA13" s="1827"/>
      <c r="CB13" s="1827"/>
      <c r="CC13" s="1827"/>
      <c r="CD13" s="1827"/>
      <c r="CE13" s="1827"/>
      <c r="CF13" s="1827"/>
      <c r="CG13" s="1827"/>
      <c r="CH13" s="1827"/>
      <c r="CI13" s="1827"/>
      <c r="CJ13" s="1827"/>
      <c r="CK13" s="1827"/>
      <c r="CL13" s="1827"/>
      <c r="CM13" s="1827"/>
      <c r="CN13" s="1827"/>
      <c r="CO13" s="1827"/>
      <c r="CP13" s="1827"/>
      <c r="CQ13" s="1827"/>
      <c r="CR13" s="1827"/>
      <c r="CS13" s="1827"/>
      <c r="CT13" s="1827"/>
      <c r="CU13" s="1827"/>
      <c r="CV13" s="1827"/>
      <c r="CW13" s="1827"/>
      <c r="CX13" s="1827"/>
      <c r="CY13" s="1827"/>
      <c r="CZ13" s="1827"/>
      <c r="DA13" s="1827"/>
      <c r="DB13" s="1827"/>
      <c r="DC13" s="1827"/>
      <c r="DD13" s="1827"/>
      <c r="DE13" s="1827"/>
      <c r="DF13" s="1827"/>
      <c r="DG13" s="1827"/>
      <c r="DH13" s="1827"/>
      <c r="DI13" s="1827"/>
      <c r="DJ13" s="1827"/>
      <c r="DK13" s="1827"/>
      <c r="DL13" s="1827"/>
      <c r="DM13" s="1827"/>
      <c r="DN13" s="1827"/>
      <c r="DO13" s="1827"/>
      <c r="DP13" s="1827"/>
      <c r="DQ13" s="1827"/>
      <c r="DR13" s="1827"/>
      <c r="DS13" s="1827"/>
      <c r="DT13" s="1827"/>
      <c r="DU13" s="1827"/>
      <c r="DV13" s="1827"/>
      <c r="DW13" s="1827"/>
      <c r="DX13" s="1827"/>
      <c r="DY13" s="1827"/>
      <c r="DZ13" s="1827"/>
      <c r="EA13" s="1827"/>
      <c r="EB13" s="1827"/>
      <c r="EC13" s="1827"/>
      <c r="ED13" s="1827"/>
      <c r="EE13" s="1827"/>
      <c r="EF13" s="1827"/>
      <c r="EG13" s="1827"/>
      <c r="EH13" s="1827"/>
      <c r="EI13" s="1827"/>
      <c r="EJ13" s="1827"/>
      <c r="EK13" s="1827"/>
      <c r="EL13" s="1827"/>
      <c r="EM13" s="1827"/>
      <c r="EN13" s="1827"/>
      <c r="EO13" s="1827"/>
      <c r="EP13" s="1827"/>
      <c r="EQ13" s="1827"/>
      <c r="ER13" s="1827"/>
      <c r="ES13" s="1827"/>
      <c r="ET13" s="1827"/>
      <c r="EU13" s="1827"/>
      <c r="EV13" s="1827"/>
      <c r="EW13" s="1827"/>
      <c r="EX13" s="1827"/>
      <c r="EY13" s="1827"/>
      <c r="EZ13" s="1827"/>
      <c r="FA13" s="1827"/>
      <c r="FB13" s="1827"/>
      <c r="FC13" s="1827"/>
      <c r="FD13" s="1827"/>
      <c r="FE13" s="1827"/>
      <c r="FF13" s="1827"/>
      <c r="FG13" s="1827"/>
      <c r="FH13" s="1827"/>
      <c r="FI13" s="1827"/>
      <c r="FJ13" s="1827"/>
      <c r="FK13" s="1827"/>
      <c r="FL13" s="1827"/>
      <c r="FM13" s="1827"/>
      <c r="FN13" s="1827"/>
      <c r="FO13" s="1827"/>
      <c r="FP13" s="1827"/>
      <c r="FQ13" s="1827"/>
      <c r="FR13" s="1827"/>
      <c r="FS13" s="1827"/>
      <c r="FT13" s="1827"/>
      <c r="FU13" s="1827"/>
      <c r="FV13" s="1827"/>
      <c r="FW13" s="1827"/>
      <c r="FX13" s="1827"/>
      <c r="FY13" s="1827"/>
      <c r="FZ13" s="1827"/>
      <c r="GA13" s="1827"/>
      <c r="GB13" s="1827"/>
      <c r="GC13" s="1827"/>
      <c r="GD13" s="1827"/>
      <c r="GE13" s="1827"/>
      <c r="GF13" s="1827"/>
      <c r="GG13" s="1827"/>
      <c r="GH13" s="1827"/>
      <c r="GI13" s="1827"/>
      <c r="GJ13" s="1827"/>
      <c r="GK13" s="1827"/>
      <c r="GL13" s="1827"/>
      <c r="GM13" s="1827"/>
      <c r="GN13" s="1827"/>
      <c r="GO13" s="1827"/>
      <c r="GP13" s="1827"/>
      <c r="GQ13" s="1827"/>
      <c r="GR13" s="1827"/>
      <c r="GS13" s="1827"/>
      <c r="GT13" s="1827"/>
      <c r="GU13" s="1827"/>
      <c r="GV13" s="1827"/>
      <c r="GW13" s="1827"/>
      <c r="GX13" s="1827"/>
      <c r="GY13" s="1827"/>
      <c r="GZ13" s="1827"/>
      <c r="HA13" s="1827"/>
      <c r="HB13" s="1827"/>
      <c r="HC13" s="1827"/>
      <c r="HD13" s="1827"/>
      <c r="HE13" s="1827"/>
      <c r="HF13" s="1827"/>
      <c r="HG13" s="1827"/>
      <c r="HH13" s="1827"/>
      <c r="HI13" s="1827"/>
      <c r="HJ13" s="1827"/>
      <c r="HK13" s="1827"/>
      <c r="HL13" s="1827"/>
      <c r="HM13" s="1827"/>
      <c r="HN13" s="1827"/>
      <c r="HO13" s="1827"/>
      <c r="HP13" s="1827"/>
      <c r="HQ13" s="1827"/>
      <c r="HR13" s="1827"/>
      <c r="HS13" s="1827"/>
      <c r="HT13" s="1827"/>
      <c r="HU13" s="1827"/>
      <c r="HV13" s="1827"/>
      <c r="HW13" s="1827"/>
      <c r="HX13" s="1827"/>
      <c r="HY13" s="1827"/>
      <c r="HZ13" s="1827"/>
      <c r="IA13" s="1827"/>
      <c r="IB13" s="1827"/>
      <c r="IC13" s="1827"/>
      <c r="ID13" s="1827"/>
      <c r="IE13" s="1827"/>
      <c r="IF13" s="1827"/>
      <c r="IG13" s="1827"/>
      <c r="IH13" s="1827"/>
      <c r="II13" s="1827"/>
      <c r="IJ13" s="1827"/>
      <c r="IK13" s="1827"/>
      <c r="IL13" s="1827"/>
      <c r="IM13" s="1827"/>
      <c r="IN13" s="1827"/>
      <c r="IO13" s="1827"/>
      <c r="IP13" s="1827"/>
      <c r="IQ13" s="1827"/>
      <c r="IR13" s="1827"/>
      <c r="IS13" s="1827"/>
      <c r="IT13" s="1827"/>
      <c r="IU13" s="1827"/>
      <c r="IV13" s="1827"/>
    </row>
    <row r="14" spans="1:256">
      <c r="A14" s="1831">
        <f>+A13+1</f>
        <v>4</v>
      </c>
      <c r="B14" s="1832" t="s">
        <v>511</v>
      </c>
      <c r="C14" s="1832"/>
      <c r="D14" s="1832"/>
      <c r="E14" s="1832" t="str">
        <f>"Line "&amp;A13&amp;" / 12"</f>
        <v>Line 3 / 12</v>
      </c>
      <c r="F14" s="1829"/>
      <c r="G14" s="1827"/>
      <c r="H14" s="1834">
        <f>+H13/12</f>
        <v>0</v>
      </c>
      <c r="I14" s="1829"/>
      <c r="J14" s="1827"/>
      <c r="K14" s="1827"/>
      <c r="L14" s="1827"/>
      <c r="M14" s="1827"/>
      <c r="N14" s="1827"/>
      <c r="O14" s="1827"/>
      <c r="P14" s="1827"/>
      <c r="Q14" s="1827"/>
      <c r="R14" s="1827"/>
      <c r="S14" s="1827"/>
      <c r="T14" s="1827"/>
      <c r="U14" s="1827"/>
      <c r="V14" s="1827"/>
      <c r="W14" s="1827"/>
      <c r="X14" s="1827"/>
      <c r="Y14" s="1827"/>
      <c r="Z14" s="1827"/>
      <c r="AA14" s="1827"/>
      <c r="AB14" s="1827"/>
      <c r="AC14" s="1827"/>
      <c r="AD14" s="1827"/>
      <c r="AE14" s="1827"/>
      <c r="AF14" s="1827"/>
      <c r="AG14" s="1827"/>
      <c r="AH14" s="1827"/>
      <c r="AI14" s="1827"/>
      <c r="AJ14" s="1827"/>
      <c r="AK14" s="1827"/>
      <c r="AL14" s="1827"/>
      <c r="AM14" s="1827"/>
      <c r="AN14" s="1827"/>
      <c r="AO14" s="1827"/>
      <c r="AP14" s="1827"/>
      <c r="AQ14" s="1827"/>
      <c r="AR14" s="1827"/>
      <c r="AS14" s="1827"/>
      <c r="AT14" s="1827"/>
      <c r="AU14" s="1827"/>
      <c r="AV14" s="1827"/>
      <c r="AW14" s="1827"/>
      <c r="AX14" s="1827"/>
      <c r="AY14" s="1827"/>
      <c r="AZ14" s="1827"/>
      <c r="BA14" s="1827"/>
      <c r="BB14" s="1827"/>
      <c r="BC14" s="1827"/>
      <c r="BD14" s="1827"/>
      <c r="BE14" s="1827"/>
      <c r="BF14" s="1827"/>
      <c r="BG14" s="1827"/>
      <c r="BH14" s="1827"/>
      <c r="BI14" s="1827"/>
      <c r="BJ14" s="1827"/>
      <c r="BK14" s="1827"/>
      <c r="BL14" s="1827"/>
      <c r="BM14" s="1827"/>
      <c r="BN14" s="1827"/>
      <c r="BO14" s="1827"/>
      <c r="BP14" s="1827"/>
      <c r="BQ14" s="1827"/>
      <c r="BR14" s="1827"/>
      <c r="BS14" s="1827"/>
      <c r="BT14" s="1827"/>
      <c r="BU14" s="1827"/>
      <c r="BV14" s="1827"/>
      <c r="BW14" s="1827"/>
      <c r="BX14" s="1827"/>
      <c r="BY14" s="1827"/>
      <c r="BZ14" s="1827"/>
      <c r="CA14" s="1827"/>
      <c r="CB14" s="1827"/>
      <c r="CC14" s="1827"/>
      <c r="CD14" s="1827"/>
      <c r="CE14" s="1827"/>
      <c r="CF14" s="1827"/>
      <c r="CG14" s="1827"/>
      <c r="CH14" s="1827"/>
      <c r="CI14" s="1827"/>
      <c r="CJ14" s="1827"/>
      <c r="CK14" s="1827"/>
      <c r="CL14" s="1827"/>
      <c r="CM14" s="1827"/>
      <c r="CN14" s="1827"/>
      <c r="CO14" s="1827"/>
      <c r="CP14" s="1827"/>
      <c r="CQ14" s="1827"/>
      <c r="CR14" s="1827"/>
      <c r="CS14" s="1827"/>
      <c r="CT14" s="1827"/>
      <c r="CU14" s="1827"/>
      <c r="CV14" s="1827"/>
      <c r="CW14" s="1827"/>
      <c r="CX14" s="1827"/>
      <c r="CY14" s="1827"/>
      <c r="CZ14" s="1827"/>
      <c r="DA14" s="1827"/>
      <c r="DB14" s="1827"/>
      <c r="DC14" s="1827"/>
      <c r="DD14" s="1827"/>
      <c r="DE14" s="1827"/>
      <c r="DF14" s="1827"/>
      <c r="DG14" s="1827"/>
      <c r="DH14" s="1827"/>
      <c r="DI14" s="1827"/>
      <c r="DJ14" s="1827"/>
      <c r="DK14" s="1827"/>
      <c r="DL14" s="1827"/>
      <c r="DM14" s="1827"/>
      <c r="DN14" s="1827"/>
      <c r="DO14" s="1827"/>
      <c r="DP14" s="1827"/>
      <c r="DQ14" s="1827"/>
      <c r="DR14" s="1827"/>
      <c r="DS14" s="1827"/>
      <c r="DT14" s="1827"/>
      <c r="DU14" s="1827"/>
      <c r="DV14" s="1827"/>
      <c r="DW14" s="1827"/>
      <c r="DX14" s="1827"/>
      <c r="DY14" s="1827"/>
      <c r="DZ14" s="1827"/>
      <c r="EA14" s="1827"/>
      <c r="EB14" s="1827"/>
      <c r="EC14" s="1827"/>
      <c r="ED14" s="1827"/>
      <c r="EE14" s="1827"/>
      <c r="EF14" s="1827"/>
      <c r="EG14" s="1827"/>
      <c r="EH14" s="1827"/>
      <c r="EI14" s="1827"/>
      <c r="EJ14" s="1827"/>
      <c r="EK14" s="1827"/>
      <c r="EL14" s="1827"/>
      <c r="EM14" s="1827"/>
      <c r="EN14" s="1827"/>
      <c r="EO14" s="1827"/>
      <c r="EP14" s="1827"/>
      <c r="EQ14" s="1827"/>
      <c r="ER14" s="1827"/>
      <c r="ES14" s="1827"/>
      <c r="ET14" s="1827"/>
      <c r="EU14" s="1827"/>
      <c r="EV14" s="1827"/>
      <c r="EW14" s="1827"/>
      <c r="EX14" s="1827"/>
      <c r="EY14" s="1827"/>
      <c r="EZ14" s="1827"/>
      <c r="FA14" s="1827"/>
      <c r="FB14" s="1827"/>
      <c r="FC14" s="1827"/>
      <c r="FD14" s="1827"/>
      <c r="FE14" s="1827"/>
      <c r="FF14" s="1827"/>
      <c r="FG14" s="1827"/>
      <c r="FH14" s="1827"/>
      <c r="FI14" s="1827"/>
      <c r="FJ14" s="1827"/>
      <c r="FK14" s="1827"/>
      <c r="FL14" s="1827"/>
      <c r="FM14" s="1827"/>
      <c r="FN14" s="1827"/>
      <c r="FO14" s="1827"/>
      <c r="FP14" s="1827"/>
      <c r="FQ14" s="1827"/>
      <c r="FR14" s="1827"/>
      <c r="FS14" s="1827"/>
      <c r="FT14" s="1827"/>
      <c r="FU14" s="1827"/>
      <c r="FV14" s="1827"/>
      <c r="FW14" s="1827"/>
      <c r="FX14" s="1827"/>
      <c r="FY14" s="1827"/>
      <c r="FZ14" s="1827"/>
      <c r="GA14" s="1827"/>
      <c r="GB14" s="1827"/>
      <c r="GC14" s="1827"/>
      <c r="GD14" s="1827"/>
      <c r="GE14" s="1827"/>
      <c r="GF14" s="1827"/>
      <c r="GG14" s="1827"/>
      <c r="GH14" s="1827"/>
      <c r="GI14" s="1827"/>
      <c r="GJ14" s="1827"/>
      <c r="GK14" s="1827"/>
      <c r="GL14" s="1827"/>
      <c r="GM14" s="1827"/>
      <c r="GN14" s="1827"/>
      <c r="GO14" s="1827"/>
      <c r="GP14" s="1827"/>
      <c r="GQ14" s="1827"/>
      <c r="GR14" s="1827"/>
      <c r="GS14" s="1827"/>
      <c r="GT14" s="1827"/>
      <c r="GU14" s="1827"/>
      <c r="GV14" s="1827"/>
      <c r="GW14" s="1827"/>
      <c r="GX14" s="1827"/>
      <c r="GY14" s="1827"/>
      <c r="GZ14" s="1827"/>
      <c r="HA14" s="1827"/>
      <c r="HB14" s="1827"/>
      <c r="HC14" s="1827"/>
      <c r="HD14" s="1827"/>
      <c r="HE14" s="1827"/>
      <c r="HF14" s="1827"/>
      <c r="HG14" s="1827"/>
      <c r="HH14" s="1827"/>
      <c r="HI14" s="1827"/>
      <c r="HJ14" s="1827"/>
      <c r="HK14" s="1827"/>
      <c r="HL14" s="1827"/>
      <c r="HM14" s="1827"/>
      <c r="HN14" s="1827"/>
      <c r="HO14" s="1827"/>
      <c r="HP14" s="1827"/>
      <c r="HQ14" s="1827"/>
      <c r="HR14" s="1827"/>
      <c r="HS14" s="1827"/>
      <c r="HT14" s="1827"/>
      <c r="HU14" s="1827"/>
      <c r="HV14" s="1827"/>
      <c r="HW14" s="1827"/>
      <c r="HX14" s="1827"/>
      <c r="HY14" s="1827"/>
      <c r="HZ14" s="1827"/>
      <c r="IA14" s="1827"/>
      <c r="IB14" s="1827"/>
      <c r="IC14" s="1827"/>
      <c r="ID14" s="1827"/>
      <c r="IE14" s="1827"/>
      <c r="IF14" s="1827"/>
      <c r="IG14" s="1827"/>
      <c r="IH14" s="1827"/>
      <c r="II14" s="1827"/>
      <c r="IJ14" s="1827"/>
      <c r="IK14" s="1827"/>
      <c r="IL14" s="1827"/>
      <c r="IM14" s="1827"/>
      <c r="IN14" s="1827"/>
      <c r="IO14" s="1827"/>
      <c r="IP14" s="1827"/>
      <c r="IQ14" s="1827"/>
      <c r="IR14" s="1827"/>
      <c r="IS14" s="1827"/>
      <c r="IT14" s="1827"/>
      <c r="IU14" s="1827"/>
      <c r="IV14" s="1827"/>
    </row>
    <row r="15" spans="1:256">
      <c r="A15" s="1832"/>
      <c r="B15" s="1832"/>
      <c r="C15" s="1832"/>
      <c r="D15" s="1832"/>
      <c r="E15" s="1829"/>
      <c r="F15" s="1829"/>
      <c r="G15" s="1829"/>
      <c r="H15" s="1829"/>
      <c r="I15" s="1829"/>
      <c r="J15" s="1827"/>
      <c r="K15" s="1827"/>
      <c r="L15" s="1827"/>
      <c r="M15" s="1827"/>
      <c r="N15" s="1827"/>
      <c r="O15" s="1827"/>
      <c r="P15" s="1827"/>
      <c r="Q15" s="1827"/>
      <c r="R15" s="1827"/>
      <c r="S15" s="1827"/>
      <c r="T15" s="1827"/>
      <c r="U15" s="1827"/>
      <c r="V15" s="1827"/>
      <c r="W15" s="1827"/>
      <c r="X15" s="1827"/>
      <c r="Y15" s="1827"/>
      <c r="Z15" s="1827"/>
      <c r="AA15" s="1827"/>
      <c r="AB15" s="1827"/>
      <c r="AC15" s="1827"/>
      <c r="AD15" s="1827"/>
      <c r="AE15" s="1827"/>
      <c r="AF15" s="1827"/>
      <c r="AG15" s="1827"/>
      <c r="AH15" s="1827"/>
      <c r="AI15" s="1827"/>
      <c r="AJ15" s="1827"/>
      <c r="AK15" s="1827"/>
      <c r="AL15" s="1827"/>
      <c r="AM15" s="1827"/>
      <c r="AN15" s="1827"/>
      <c r="AO15" s="1827"/>
      <c r="AP15" s="1827"/>
      <c r="AQ15" s="1827"/>
      <c r="AR15" s="1827"/>
      <c r="AS15" s="1827"/>
      <c r="AT15" s="1827"/>
      <c r="AU15" s="1827"/>
      <c r="AV15" s="1827"/>
      <c r="AW15" s="1827"/>
      <c r="AX15" s="1827"/>
      <c r="AY15" s="1827"/>
      <c r="AZ15" s="1827"/>
      <c r="BA15" s="1827"/>
      <c r="BB15" s="1827"/>
      <c r="BC15" s="1827"/>
      <c r="BD15" s="1827"/>
      <c r="BE15" s="1827"/>
      <c r="BF15" s="1827"/>
      <c r="BG15" s="1827"/>
      <c r="BH15" s="1827"/>
      <c r="BI15" s="1827"/>
      <c r="BJ15" s="1827"/>
      <c r="BK15" s="1827"/>
      <c r="BL15" s="1827"/>
      <c r="BM15" s="1827"/>
      <c r="BN15" s="1827"/>
      <c r="BO15" s="1827"/>
      <c r="BP15" s="1827"/>
      <c r="BQ15" s="1827"/>
      <c r="BR15" s="1827"/>
      <c r="BS15" s="1827"/>
      <c r="BT15" s="1827"/>
      <c r="BU15" s="1827"/>
      <c r="BV15" s="1827"/>
      <c r="BW15" s="1827"/>
      <c r="BX15" s="1827"/>
      <c r="BY15" s="1827"/>
      <c r="BZ15" s="1827"/>
      <c r="CA15" s="1827"/>
      <c r="CB15" s="1827"/>
      <c r="CC15" s="1827"/>
      <c r="CD15" s="1827"/>
      <c r="CE15" s="1827"/>
      <c r="CF15" s="1827"/>
      <c r="CG15" s="1827"/>
      <c r="CH15" s="1827"/>
      <c r="CI15" s="1827"/>
      <c r="CJ15" s="1827"/>
      <c r="CK15" s="1827"/>
      <c r="CL15" s="1827"/>
      <c r="CM15" s="1827"/>
      <c r="CN15" s="1827"/>
      <c r="CO15" s="1827"/>
      <c r="CP15" s="1827"/>
      <c r="CQ15" s="1827"/>
      <c r="CR15" s="1827"/>
      <c r="CS15" s="1827"/>
      <c r="CT15" s="1827"/>
      <c r="CU15" s="1827"/>
      <c r="CV15" s="1827"/>
      <c r="CW15" s="1827"/>
      <c r="CX15" s="1827"/>
      <c r="CY15" s="1827"/>
      <c r="CZ15" s="1827"/>
      <c r="DA15" s="1827"/>
      <c r="DB15" s="1827"/>
      <c r="DC15" s="1827"/>
      <c r="DD15" s="1827"/>
      <c r="DE15" s="1827"/>
      <c r="DF15" s="1827"/>
      <c r="DG15" s="1827"/>
      <c r="DH15" s="1827"/>
      <c r="DI15" s="1827"/>
      <c r="DJ15" s="1827"/>
      <c r="DK15" s="1827"/>
      <c r="DL15" s="1827"/>
      <c r="DM15" s="1827"/>
      <c r="DN15" s="1827"/>
      <c r="DO15" s="1827"/>
      <c r="DP15" s="1827"/>
      <c r="DQ15" s="1827"/>
      <c r="DR15" s="1827"/>
      <c r="DS15" s="1827"/>
      <c r="DT15" s="1827"/>
      <c r="DU15" s="1827"/>
      <c r="DV15" s="1827"/>
      <c r="DW15" s="1827"/>
      <c r="DX15" s="1827"/>
      <c r="DY15" s="1827"/>
      <c r="DZ15" s="1827"/>
      <c r="EA15" s="1827"/>
      <c r="EB15" s="1827"/>
      <c r="EC15" s="1827"/>
      <c r="ED15" s="1827"/>
      <c r="EE15" s="1827"/>
      <c r="EF15" s="1827"/>
      <c r="EG15" s="1827"/>
      <c r="EH15" s="1827"/>
      <c r="EI15" s="1827"/>
      <c r="EJ15" s="1827"/>
      <c r="EK15" s="1827"/>
      <c r="EL15" s="1827"/>
      <c r="EM15" s="1827"/>
      <c r="EN15" s="1827"/>
      <c r="EO15" s="1827"/>
      <c r="EP15" s="1827"/>
      <c r="EQ15" s="1827"/>
      <c r="ER15" s="1827"/>
      <c r="ES15" s="1827"/>
      <c r="ET15" s="1827"/>
      <c r="EU15" s="1827"/>
      <c r="EV15" s="1827"/>
      <c r="EW15" s="1827"/>
      <c r="EX15" s="1827"/>
      <c r="EY15" s="1827"/>
      <c r="EZ15" s="1827"/>
      <c r="FA15" s="1827"/>
      <c r="FB15" s="1827"/>
      <c r="FC15" s="1827"/>
      <c r="FD15" s="1827"/>
      <c r="FE15" s="1827"/>
      <c r="FF15" s="1827"/>
      <c r="FG15" s="1827"/>
      <c r="FH15" s="1827"/>
      <c r="FI15" s="1827"/>
      <c r="FJ15" s="1827"/>
      <c r="FK15" s="1827"/>
      <c r="FL15" s="1827"/>
      <c r="FM15" s="1827"/>
      <c r="FN15" s="1827"/>
      <c r="FO15" s="1827"/>
      <c r="FP15" s="1827"/>
      <c r="FQ15" s="1827"/>
      <c r="FR15" s="1827"/>
      <c r="FS15" s="1827"/>
      <c r="FT15" s="1827"/>
      <c r="FU15" s="1827"/>
      <c r="FV15" s="1827"/>
      <c r="FW15" s="1827"/>
      <c r="FX15" s="1827"/>
      <c r="FY15" s="1827"/>
      <c r="FZ15" s="1827"/>
      <c r="GA15" s="1827"/>
      <c r="GB15" s="1827"/>
      <c r="GC15" s="1827"/>
      <c r="GD15" s="1827"/>
      <c r="GE15" s="1827"/>
      <c r="GF15" s="1827"/>
      <c r="GG15" s="1827"/>
      <c r="GH15" s="1827"/>
      <c r="GI15" s="1827"/>
      <c r="GJ15" s="1827"/>
      <c r="GK15" s="1827"/>
      <c r="GL15" s="1827"/>
      <c r="GM15" s="1827"/>
      <c r="GN15" s="1827"/>
      <c r="GO15" s="1827"/>
      <c r="GP15" s="1827"/>
      <c r="GQ15" s="1827"/>
      <c r="GR15" s="1827"/>
      <c r="GS15" s="1827"/>
      <c r="GT15" s="1827"/>
      <c r="GU15" s="1827"/>
      <c r="GV15" s="1827"/>
      <c r="GW15" s="1827"/>
      <c r="GX15" s="1827"/>
      <c r="GY15" s="1827"/>
      <c r="GZ15" s="1827"/>
      <c r="HA15" s="1827"/>
      <c r="HB15" s="1827"/>
      <c r="HC15" s="1827"/>
      <c r="HD15" s="1827"/>
      <c r="HE15" s="1827"/>
      <c r="HF15" s="1827"/>
      <c r="HG15" s="1827"/>
      <c r="HH15" s="1827"/>
      <c r="HI15" s="1827"/>
      <c r="HJ15" s="1827"/>
      <c r="HK15" s="1827"/>
      <c r="HL15" s="1827"/>
      <c r="HM15" s="1827"/>
      <c r="HN15" s="1827"/>
      <c r="HO15" s="1827"/>
      <c r="HP15" s="1827"/>
      <c r="HQ15" s="1827"/>
      <c r="HR15" s="1827"/>
      <c r="HS15" s="1827"/>
      <c r="HT15" s="1827"/>
      <c r="HU15" s="1827"/>
      <c r="HV15" s="1827"/>
      <c r="HW15" s="1827"/>
      <c r="HX15" s="1827"/>
      <c r="HY15" s="1827"/>
      <c r="HZ15" s="1827"/>
      <c r="IA15" s="1827"/>
      <c r="IB15" s="1827"/>
      <c r="IC15" s="1827"/>
      <c r="ID15" s="1827"/>
      <c r="IE15" s="1827"/>
      <c r="IF15" s="1827"/>
      <c r="IG15" s="1827"/>
      <c r="IH15" s="1827"/>
      <c r="II15" s="1827"/>
      <c r="IJ15" s="1827"/>
      <c r="IK15" s="1827"/>
      <c r="IL15" s="1827"/>
      <c r="IM15" s="1827"/>
      <c r="IN15" s="1827"/>
      <c r="IO15" s="1827"/>
      <c r="IP15" s="1827"/>
      <c r="IQ15" s="1827"/>
      <c r="IR15" s="1827"/>
      <c r="IS15" s="1827"/>
      <c r="IT15" s="1827"/>
      <c r="IU15" s="1827"/>
      <c r="IV15" s="1827"/>
    </row>
    <row r="16" spans="1:256" ht="15.75">
      <c r="A16" s="1827"/>
      <c r="B16" s="1835" t="s">
        <v>303</v>
      </c>
      <c r="C16" s="1835" t="s">
        <v>304</v>
      </c>
      <c r="D16" s="1835" t="s">
        <v>47</v>
      </c>
      <c r="E16" s="1835" t="s">
        <v>306</v>
      </c>
      <c r="F16" s="1835" t="s">
        <v>231</v>
      </c>
      <c r="G16" s="1835" t="s">
        <v>232</v>
      </c>
      <c r="H16" s="1835" t="s">
        <v>233</v>
      </c>
      <c r="I16" s="1835" t="s">
        <v>238</v>
      </c>
      <c r="J16" s="1827"/>
      <c r="K16" s="1827"/>
      <c r="L16" s="1827"/>
      <c r="M16" s="1827"/>
      <c r="N16" s="1827"/>
      <c r="O16" s="1827"/>
      <c r="P16" s="1827"/>
      <c r="Q16" s="1827"/>
      <c r="R16" s="1827"/>
      <c r="S16" s="1827"/>
      <c r="T16" s="1827"/>
      <c r="U16" s="1827"/>
      <c r="V16" s="1827"/>
      <c r="W16" s="1827"/>
      <c r="X16" s="1827"/>
      <c r="Y16" s="1827"/>
      <c r="Z16" s="1827"/>
      <c r="AA16" s="1827"/>
      <c r="AB16" s="1827"/>
      <c r="AC16" s="1827"/>
      <c r="AD16" s="1827"/>
      <c r="AE16" s="1827"/>
      <c r="AF16" s="1827"/>
      <c r="AG16" s="1827"/>
      <c r="AH16" s="1827"/>
      <c r="AI16" s="1827"/>
      <c r="AJ16" s="1827"/>
      <c r="AK16" s="1827"/>
      <c r="AL16" s="1827"/>
      <c r="AM16" s="1827"/>
      <c r="AN16" s="1827"/>
      <c r="AO16" s="1827"/>
      <c r="AP16" s="1827"/>
      <c r="AQ16" s="1827"/>
      <c r="AR16" s="1827"/>
      <c r="AS16" s="1827"/>
      <c r="AT16" s="1827"/>
      <c r="AU16" s="1827"/>
      <c r="AV16" s="1827"/>
      <c r="AW16" s="1827"/>
      <c r="AX16" s="1827"/>
      <c r="AY16" s="1827"/>
      <c r="AZ16" s="1827"/>
      <c r="BA16" s="1827"/>
      <c r="BB16" s="1827"/>
      <c r="BC16" s="1827"/>
      <c r="BD16" s="1827"/>
      <c r="BE16" s="1827"/>
      <c r="BF16" s="1827"/>
      <c r="BG16" s="1827"/>
      <c r="BH16" s="1827"/>
      <c r="BI16" s="1827"/>
      <c r="BJ16" s="1827"/>
      <c r="BK16" s="1827"/>
      <c r="BL16" s="1827"/>
      <c r="BM16" s="1827"/>
      <c r="BN16" s="1827"/>
      <c r="BO16" s="1827"/>
      <c r="BP16" s="1827"/>
      <c r="BQ16" s="1827"/>
      <c r="BR16" s="1827"/>
      <c r="BS16" s="1827"/>
      <c r="BT16" s="1827"/>
      <c r="BU16" s="1827"/>
      <c r="BV16" s="1827"/>
      <c r="BW16" s="1827"/>
      <c r="BX16" s="1827"/>
      <c r="BY16" s="1827"/>
      <c r="BZ16" s="1827"/>
      <c r="CA16" s="1827"/>
      <c r="CB16" s="1827"/>
      <c r="CC16" s="1827"/>
      <c r="CD16" s="1827"/>
      <c r="CE16" s="1827"/>
      <c r="CF16" s="1827"/>
      <c r="CG16" s="1827"/>
      <c r="CH16" s="1827"/>
      <c r="CI16" s="1827"/>
      <c r="CJ16" s="1827"/>
      <c r="CK16" s="1827"/>
      <c r="CL16" s="1827"/>
      <c r="CM16" s="1827"/>
      <c r="CN16" s="1827"/>
      <c r="CO16" s="1827"/>
      <c r="CP16" s="1827"/>
      <c r="CQ16" s="1827"/>
      <c r="CR16" s="1827"/>
      <c r="CS16" s="1827"/>
      <c r="CT16" s="1827"/>
      <c r="CU16" s="1827"/>
      <c r="CV16" s="1827"/>
      <c r="CW16" s="1827"/>
      <c r="CX16" s="1827"/>
      <c r="CY16" s="1827"/>
      <c r="CZ16" s="1827"/>
      <c r="DA16" s="1827"/>
      <c r="DB16" s="1827"/>
      <c r="DC16" s="1827"/>
      <c r="DD16" s="1827"/>
      <c r="DE16" s="1827"/>
      <c r="DF16" s="1827"/>
      <c r="DG16" s="1827"/>
      <c r="DH16" s="1827"/>
      <c r="DI16" s="1827"/>
      <c r="DJ16" s="1827"/>
      <c r="DK16" s="1827"/>
      <c r="DL16" s="1827"/>
      <c r="DM16" s="1827"/>
      <c r="DN16" s="1827"/>
      <c r="DO16" s="1827"/>
      <c r="DP16" s="1827"/>
      <c r="DQ16" s="1827"/>
      <c r="DR16" s="1827"/>
      <c r="DS16" s="1827"/>
      <c r="DT16" s="1827"/>
      <c r="DU16" s="1827"/>
      <c r="DV16" s="1827"/>
      <c r="DW16" s="1827"/>
      <c r="DX16" s="1827"/>
      <c r="DY16" s="1827"/>
      <c r="DZ16" s="1827"/>
      <c r="EA16" s="1827"/>
      <c r="EB16" s="1827"/>
      <c r="EC16" s="1827"/>
      <c r="ED16" s="1827"/>
      <c r="EE16" s="1827"/>
      <c r="EF16" s="1827"/>
      <c r="EG16" s="1827"/>
      <c r="EH16" s="1827"/>
      <c r="EI16" s="1827"/>
      <c r="EJ16" s="1827"/>
      <c r="EK16" s="1827"/>
      <c r="EL16" s="1827"/>
      <c r="EM16" s="1827"/>
      <c r="EN16" s="1827"/>
      <c r="EO16" s="1827"/>
      <c r="EP16" s="1827"/>
      <c r="EQ16" s="1827"/>
      <c r="ER16" s="1827"/>
      <c r="ES16" s="1827"/>
      <c r="ET16" s="1827"/>
      <c r="EU16" s="1827"/>
      <c r="EV16" s="1827"/>
      <c r="EW16" s="1827"/>
      <c r="EX16" s="1827"/>
      <c r="EY16" s="1827"/>
      <c r="EZ16" s="1827"/>
      <c r="FA16" s="1827"/>
      <c r="FB16" s="1827"/>
      <c r="FC16" s="1827"/>
      <c r="FD16" s="1827"/>
      <c r="FE16" s="1827"/>
      <c r="FF16" s="1827"/>
      <c r="FG16" s="1827"/>
      <c r="FH16" s="1827"/>
      <c r="FI16" s="1827"/>
      <c r="FJ16" s="1827"/>
      <c r="FK16" s="1827"/>
      <c r="FL16" s="1827"/>
      <c r="FM16" s="1827"/>
      <c r="FN16" s="1827"/>
      <c r="FO16" s="1827"/>
      <c r="FP16" s="1827"/>
      <c r="FQ16" s="1827"/>
      <c r="FR16" s="1827"/>
      <c r="FS16" s="1827"/>
      <c r="FT16" s="1827"/>
      <c r="FU16" s="1827"/>
      <c r="FV16" s="1827"/>
      <c r="FW16" s="1827"/>
      <c r="FX16" s="1827"/>
      <c r="FY16" s="1827"/>
      <c r="FZ16" s="1827"/>
      <c r="GA16" s="1827"/>
      <c r="GB16" s="1827"/>
      <c r="GC16" s="1827"/>
      <c r="GD16" s="1827"/>
      <c r="GE16" s="1827"/>
      <c r="GF16" s="1827"/>
      <c r="GG16" s="1827"/>
      <c r="GH16" s="1827"/>
      <c r="GI16" s="1827"/>
      <c r="GJ16" s="1827"/>
      <c r="GK16" s="1827"/>
      <c r="GL16" s="1827"/>
      <c r="GM16" s="1827"/>
      <c r="GN16" s="1827"/>
      <c r="GO16" s="1827"/>
      <c r="GP16" s="1827"/>
      <c r="GQ16" s="1827"/>
      <c r="GR16" s="1827"/>
      <c r="GS16" s="1827"/>
      <c r="GT16" s="1827"/>
      <c r="GU16" s="1827"/>
      <c r="GV16" s="1827"/>
      <c r="GW16" s="1827"/>
      <c r="GX16" s="1827"/>
      <c r="GY16" s="1827"/>
      <c r="GZ16" s="1827"/>
      <c r="HA16" s="1827"/>
      <c r="HB16" s="1827"/>
      <c r="HC16" s="1827"/>
      <c r="HD16" s="1827"/>
      <c r="HE16" s="1827"/>
      <c r="HF16" s="1827"/>
      <c r="HG16" s="1827"/>
      <c r="HH16" s="1827"/>
      <c r="HI16" s="1827"/>
      <c r="HJ16" s="1827"/>
      <c r="HK16" s="1827"/>
      <c r="HL16" s="1827"/>
      <c r="HM16" s="1827"/>
      <c r="HN16" s="1827"/>
      <c r="HO16" s="1827"/>
      <c r="HP16" s="1827"/>
      <c r="HQ16" s="1827"/>
      <c r="HR16" s="1827"/>
      <c r="HS16" s="1827"/>
      <c r="HT16" s="1827"/>
      <c r="HU16" s="1827"/>
      <c r="HV16" s="1827"/>
      <c r="HW16" s="1827"/>
      <c r="HX16" s="1827"/>
      <c r="HY16" s="1827"/>
      <c r="HZ16" s="1827"/>
      <c r="IA16" s="1827"/>
      <c r="IB16" s="1827"/>
      <c r="IC16" s="1827"/>
      <c r="ID16" s="1827"/>
      <c r="IE16" s="1827"/>
      <c r="IF16" s="1827"/>
      <c r="IG16" s="1827"/>
      <c r="IH16" s="1827"/>
      <c r="II16" s="1827"/>
      <c r="IJ16" s="1827"/>
      <c r="IK16" s="1827"/>
      <c r="IL16" s="1827"/>
      <c r="IM16" s="1827"/>
      <c r="IN16" s="1827"/>
      <c r="IO16" s="1827"/>
      <c r="IP16" s="1827"/>
      <c r="IQ16" s="1827"/>
      <c r="IR16" s="1827"/>
      <c r="IS16" s="1827"/>
      <c r="IT16" s="1827"/>
      <c r="IU16" s="1827"/>
      <c r="IV16" s="1827"/>
    </row>
    <row r="17" spans="1:256" ht="39">
      <c r="A17" s="1836" t="s">
        <v>310</v>
      </c>
      <c r="B17" s="1837" t="s">
        <v>512</v>
      </c>
      <c r="C17" s="1837" t="s">
        <v>513</v>
      </c>
      <c r="D17" s="1837" t="s">
        <v>521</v>
      </c>
      <c r="E17" s="1837" t="s">
        <v>522</v>
      </c>
      <c r="F17" s="1837" t="s">
        <v>523</v>
      </c>
      <c r="G17" s="1837" t="s">
        <v>524</v>
      </c>
      <c r="H17" s="1837" t="s">
        <v>514</v>
      </c>
      <c r="I17" s="1837" t="s">
        <v>525</v>
      </c>
      <c r="J17" s="1827"/>
      <c r="K17" s="1838"/>
      <c r="L17" s="1838"/>
      <c r="M17" s="1838"/>
      <c r="N17" s="1838"/>
      <c r="O17" s="1838"/>
      <c r="P17" s="1838"/>
      <c r="Q17" s="1838"/>
      <c r="R17" s="1838"/>
      <c r="S17" s="1838"/>
      <c r="T17" s="1838"/>
      <c r="U17" s="1838"/>
      <c r="V17" s="1838"/>
      <c r="W17" s="1838"/>
      <c r="X17" s="1838"/>
      <c r="Y17" s="1838"/>
      <c r="Z17" s="1838"/>
      <c r="AA17" s="1838"/>
      <c r="AB17" s="1838"/>
      <c r="AC17" s="1838"/>
      <c r="AD17" s="1838"/>
      <c r="AE17" s="1838"/>
      <c r="AF17" s="1838"/>
      <c r="AG17" s="1838"/>
      <c r="AH17" s="1838"/>
      <c r="AI17" s="1838"/>
      <c r="AJ17" s="1838"/>
      <c r="AK17" s="1838"/>
      <c r="AL17" s="1838"/>
      <c r="AM17" s="1838"/>
      <c r="AN17" s="1838"/>
      <c r="AO17" s="1838"/>
      <c r="AP17" s="1838"/>
      <c r="AQ17" s="1838"/>
      <c r="AR17" s="1838"/>
      <c r="AS17" s="1838"/>
      <c r="AT17" s="1838"/>
      <c r="AU17" s="1838"/>
      <c r="AV17" s="1838"/>
      <c r="AW17" s="1838"/>
      <c r="AX17" s="1838"/>
      <c r="AY17" s="1838"/>
      <c r="AZ17" s="1838"/>
      <c r="BA17" s="1838"/>
      <c r="BB17" s="1838"/>
      <c r="BC17" s="1838"/>
      <c r="BD17" s="1838"/>
      <c r="BE17" s="1838"/>
      <c r="BF17" s="1838"/>
      <c r="BG17" s="1838"/>
      <c r="BH17" s="1838"/>
      <c r="BI17" s="1838"/>
      <c r="BJ17" s="1838"/>
      <c r="BK17" s="1838"/>
      <c r="BL17" s="1838"/>
      <c r="BM17" s="1838"/>
      <c r="BN17" s="1838"/>
      <c r="BO17" s="1838"/>
      <c r="BP17" s="1838"/>
      <c r="BQ17" s="1838"/>
      <c r="BR17" s="1838"/>
      <c r="BS17" s="1838"/>
      <c r="BT17" s="1838"/>
      <c r="BU17" s="1838"/>
      <c r="BV17" s="1838"/>
      <c r="BW17" s="1838"/>
      <c r="BX17" s="1838"/>
      <c r="BY17" s="1838"/>
      <c r="BZ17" s="1838"/>
      <c r="CA17" s="1838"/>
      <c r="CB17" s="1838"/>
      <c r="CC17" s="1838"/>
      <c r="CD17" s="1838"/>
      <c r="CE17" s="1838"/>
      <c r="CF17" s="1838"/>
      <c r="CG17" s="1838"/>
      <c r="CH17" s="1838"/>
      <c r="CI17" s="1838"/>
      <c r="CJ17" s="1838"/>
      <c r="CK17" s="1838"/>
      <c r="CL17" s="1838"/>
      <c r="CM17" s="1838"/>
      <c r="CN17" s="1838"/>
      <c r="CO17" s="1838"/>
      <c r="CP17" s="1838"/>
      <c r="CQ17" s="1838"/>
      <c r="CR17" s="1838"/>
      <c r="CS17" s="1838"/>
      <c r="CT17" s="1838"/>
      <c r="CU17" s="1838"/>
      <c r="CV17" s="1838"/>
      <c r="CW17" s="1838"/>
      <c r="CX17" s="1838"/>
      <c r="CY17" s="1838"/>
      <c r="CZ17" s="1838"/>
      <c r="DA17" s="1838"/>
      <c r="DB17" s="1838"/>
      <c r="DC17" s="1838"/>
      <c r="DD17" s="1838"/>
      <c r="DE17" s="1838"/>
      <c r="DF17" s="1838"/>
      <c r="DG17" s="1838"/>
      <c r="DH17" s="1838"/>
      <c r="DI17" s="1838"/>
      <c r="DJ17" s="1838"/>
      <c r="DK17" s="1838"/>
      <c r="DL17" s="1838"/>
      <c r="DM17" s="1838"/>
      <c r="DN17" s="1838"/>
      <c r="DO17" s="1838"/>
      <c r="DP17" s="1838"/>
      <c r="DQ17" s="1838"/>
      <c r="DR17" s="1838"/>
      <c r="DS17" s="1838"/>
      <c r="DT17" s="1838"/>
      <c r="DU17" s="1838"/>
      <c r="DV17" s="1838"/>
      <c r="DW17" s="1838"/>
      <c r="DX17" s="1838"/>
      <c r="DY17" s="1838"/>
      <c r="DZ17" s="1838"/>
      <c r="EA17" s="1838"/>
      <c r="EB17" s="1838"/>
      <c r="EC17" s="1838"/>
      <c r="ED17" s="1838"/>
      <c r="EE17" s="1838"/>
      <c r="EF17" s="1838"/>
      <c r="EG17" s="1838"/>
      <c r="EH17" s="1838"/>
      <c r="EI17" s="1838"/>
      <c r="EJ17" s="1838"/>
      <c r="EK17" s="1838"/>
      <c r="EL17" s="1838"/>
      <c r="EM17" s="1838"/>
      <c r="EN17" s="1838"/>
      <c r="EO17" s="1838"/>
      <c r="EP17" s="1838"/>
      <c r="EQ17" s="1838"/>
      <c r="ER17" s="1838"/>
      <c r="ES17" s="1838"/>
      <c r="ET17" s="1838"/>
      <c r="EU17" s="1838"/>
      <c r="EV17" s="1838"/>
      <c r="EW17" s="1838"/>
      <c r="EX17" s="1838"/>
      <c r="EY17" s="1838"/>
      <c r="EZ17" s="1838"/>
      <c r="FA17" s="1838"/>
      <c r="FB17" s="1838"/>
      <c r="FC17" s="1838"/>
      <c r="FD17" s="1838"/>
      <c r="FE17" s="1838"/>
      <c r="FF17" s="1838"/>
      <c r="FG17" s="1838"/>
      <c r="FH17" s="1838"/>
      <c r="FI17" s="1838"/>
      <c r="FJ17" s="1838"/>
      <c r="FK17" s="1838"/>
      <c r="FL17" s="1838"/>
      <c r="FM17" s="1838"/>
      <c r="FN17" s="1838"/>
      <c r="FO17" s="1838"/>
      <c r="FP17" s="1838"/>
      <c r="FQ17" s="1838"/>
      <c r="FR17" s="1838"/>
      <c r="FS17" s="1838"/>
      <c r="FT17" s="1838"/>
      <c r="FU17" s="1838"/>
      <c r="FV17" s="1838"/>
      <c r="FW17" s="1838"/>
      <c r="FX17" s="1838"/>
      <c r="FY17" s="1838"/>
      <c r="FZ17" s="1838"/>
      <c r="GA17" s="1838"/>
      <c r="GB17" s="1838"/>
      <c r="GC17" s="1838"/>
      <c r="GD17" s="1838"/>
      <c r="GE17" s="1838"/>
      <c r="GF17" s="1838"/>
      <c r="GG17" s="1838"/>
      <c r="GH17" s="1838"/>
      <c r="GI17" s="1838"/>
      <c r="GJ17" s="1838"/>
      <c r="GK17" s="1838"/>
      <c r="GL17" s="1838"/>
      <c r="GM17" s="1838"/>
      <c r="GN17" s="1838"/>
      <c r="GO17" s="1838"/>
      <c r="GP17" s="1838"/>
      <c r="GQ17" s="1838"/>
      <c r="GR17" s="1838"/>
      <c r="GS17" s="1838"/>
      <c r="GT17" s="1838"/>
      <c r="GU17" s="1838"/>
      <c r="GV17" s="1838"/>
      <c r="GW17" s="1838"/>
      <c r="GX17" s="1838"/>
      <c r="GY17" s="1838"/>
      <c r="GZ17" s="1838"/>
      <c r="HA17" s="1838"/>
      <c r="HB17" s="1838"/>
      <c r="HC17" s="1838"/>
      <c r="HD17" s="1838"/>
      <c r="HE17" s="1838"/>
      <c r="HF17" s="1838"/>
      <c r="HG17" s="1838"/>
      <c r="HH17" s="1838"/>
      <c r="HI17" s="1838"/>
      <c r="HJ17" s="1838"/>
      <c r="HK17" s="1838"/>
      <c r="HL17" s="1838"/>
      <c r="HM17" s="1838"/>
      <c r="HN17" s="1838"/>
      <c r="HO17" s="1838"/>
      <c r="HP17" s="1838"/>
      <c r="HQ17" s="1838"/>
      <c r="HR17" s="1838"/>
      <c r="HS17" s="1838"/>
      <c r="HT17" s="1838"/>
      <c r="HU17" s="1838"/>
      <c r="HV17" s="1838"/>
      <c r="HW17" s="1838"/>
      <c r="HX17" s="1838"/>
      <c r="HY17" s="1838"/>
      <c r="HZ17" s="1838"/>
      <c r="IA17" s="1838"/>
      <c r="IB17" s="1838"/>
      <c r="IC17" s="1838"/>
      <c r="ID17" s="1838"/>
      <c r="IE17" s="1838"/>
      <c r="IF17" s="1838"/>
      <c r="IG17" s="1838"/>
      <c r="IH17" s="1838"/>
      <c r="II17" s="1838"/>
      <c r="IJ17" s="1838"/>
      <c r="IK17" s="1838"/>
      <c r="IL17" s="1838"/>
      <c r="IM17" s="1838"/>
      <c r="IN17" s="1838"/>
      <c r="IO17" s="1838"/>
      <c r="IP17" s="1838"/>
      <c r="IQ17" s="1838"/>
      <c r="IR17" s="1838"/>
      <c r="IS17" s="1838"/>
      <c r="IT17" s="1838"/>
      <c r="IU17" s="1838"/>
      <c r="IV17" s="1838"/>
    </row>
    <row r="18" spans="1:256">
      <c r="A18" s="1831">
        <f>+A14+1</f>
        <v>5</v>
      </c>
      <c r="B18" s="1828" t="s">
        <v>515</v>
      </c>
      <c r="C18" s="1149">
        <f>+H12</f>
        <v>0</v>
      </c>
      <c r="D18" s="1149">
        <f>C18</f>
        <v>0</v>
      </c>
      <c r="E18" s="1828"/>
      <c r="F18" s="964">
        <v>365</v>
      </c>
      <c r="G18" s="1839">
        <f>F18/$F$18</f>
        <v>1</v>
      </c>
      <c r="H18" s="1149">
        <f>C18*G18</f>
        <v>0</v>
      </c>
      <c r="I18" s="1149">
        <f>H18</f>
        <v>0</v>
      </c>
      <c r="J18" s="1827"/>
      <c r="K18" s="1827"/>
      <c r="L18" s="1827"/>
      <c r="M18" s="1827"/>
      <c r="N18" s="1827"/>
      <c r="O18" s="1827"/>
      <c r="P18" s="1827"/>
      <c r="Q18" s="1827"/>
      <c r="R18" s="1827"/>
      <c r="S18" s="1827"/>
      <c r="T18" s="1827"/>
      <c r="U18" s="1827"/>
      <c r="V18" s="1827"/>
      <c r="W18" s="1827"/>
      <c r="X18" s="1827"/>
      <c r="Y18" s="1827"/>
      <c r="Z18" s="1827"/>
      <c r="AA18" s="1827"/>
      <c r="AB18" s="1827"/>
      <c r="AC18" s="1827"/>
      <c r="AD18" s="1827"/>
      <c r="AE18" s="1827"/>
      <c r="AF18" s="1827"/>
      <c r="AG18" s="1827"/>
      <c r="AH18" s="1827"/>
      <c r="AI18" s="1827"/>
      <c r="AJ18" s="1827"/>
      <c r="AK18" s="1827"/>
      <c r="AL18" s="1827"/>
      <c r="AM18" s="1827"/>
      <c r="AN18" s="1827"/>
      <c r="AO18" s="1827"/>
      <c r="AP18" s="1827"/>
      <c r="AQ18" s="1827"/>
      <c r="AR18" s="1827"/>
      <c r="AS18" s="1827"/>
      <c r="AT18" s="1827"/>
      <c r="AU18" s="1827"/>
      <c r="AV18" s="1827"/>
      <c r="AW18" s="1827"/>
      <c r="AX18" s="1827"/>
      <c r="AY18" s="1827"/>
      <c r="AZ18" s="1827"/>
      <c r="BA18" s="1827"/>
      <c r="BB18" s="1827"/>
      <c r="BC18" s="1827"/>
      <c r="BD18" s="1827"/>
      <c r="BE18" s="1827"/>
      <c r="BF18" s="1827"/>
      <c r="BG18" s="1827"/>
      <c r="BH18" s="1827"/>
      <c r="BI18" s="1827"/>
      <c r="BJ18" s="1827"/>
      <c r="BK18" s="1827"/>
      <c r="BL18" s="1827"/>
      <c r="BM18" s="1827"/>
      <c r="BN18" s="1827"/>
      <c r="BO18" s="1827"/>
      <c r="BP18" s="1827"/>
      <c r="BQ18" s="1827"/>
      <c r="BR18" s="1827"/>
      <c r="BS18" s="1827"/>
      <c r="BT18" s="1827"/>
      <c r="BU18" s="1827"/>
      <c r="BV18" s="1827"/>
      <c r="BW18" s="1827"/>
      <c r="BX18" s="1827"/>
      <c r="BY18" s="1827"/>
      <c r="BZ18" s="1827"/>
      <c r="CA18" s="1827"/>
      <c r="CB18" s="1827"/>
      <c r="CC18" s="1827"/>
      <c r="CD18" s="1827"/>
      <c r="CE18" s="1827"/>
      <c r="CF18" s="1827"/>
      <c r="CG18" s="1827"/>
      <c r="CH18" s="1827"/>
      <c r="CI18" s="1827"/>
      <c r="CJ18" s="1827"/>
      <c r="CK18" s="1827"/>
      <c r="CL18" s="1827"/>
      <c r="CM18" s="1827"/>
      <c r="CN18" s="1827"/>
      <c r="CO18" s="1827"/>
      <c r="CP18" s="1827"/>
      <c r="CQ18" s="1827"/>
      <c r="CR18" s="1827"/>
      <c r="CS18" s="1827"/>
      <c r="CT18" s="1827"/>
      <c r="CU18" s="1827"/>
      <c r="CV18" s="1827"/>
      <c r="CW18" s="1827"/>
      <c r="CX18" s="1827"/>
      <c r="CY18" s="1827"/>
      <c r="CZ18" s="1827"/>
      <c r="DA18" s="1827"/>
      <c r="DB18" s="1827"/>
      <c r="DC18" s="1827"/>
      <c r="DD18" s="1827"/>
      <c r="DE18" s="1827"/>
      <c r="DF18" s="1827"/>
      <c r="DG18" s="1827"/>
      <c r="DH18" s="1827"/>
      <c r="DI18" s="1827"/>
      <c r="DJ18" s="1827"/>
      <c r="DK18" s="1827"/>
      <c r="DL18" s="1827"/>
      <c r="DM18" s="1827"/>
      <c r="DN18" s="1827"/>
      <c r="DO18" s="1827"/>
      <c r="DP18" s="1827"/>
      <c r="DQ18" s="1827"/>
      <c r="DR18" s="1827"/>
      <c r="DS18" s="1827"/>
      <c r="DT18" s="1827"/>
      <c r="DU18" s="1827"/>
      <c r="DV18" s="1827"/>
      <c r="DW18" s="1827"/>
      <c r="DX18" s="1827"/>
      <c r="DY18" s="1827"/>
      <c r="DZ18" s="1827"/>
      <c r="EA18" s="1827"/>
      <c r="EB18" s="1827"/>
      <c r="EC18" s="1827"/>
      <c r="ED18" s="1827"/>
      <c r="EE18" s="1827"/>
      <c r="EF18" s="1827"/>
      <c r="EG18" s="1827"/>
      <c r="EH18" s="1827"/>
      <c r="EI18" s="1827"/>
      <c r="EJ18" s="1827"/>
      <c r="EK18" s="1827"/>
      <c r="EL18" s="1827"/>
      <c r="EM18" s="1827"/>
      <c r="EN18" s="1827"/>
      <c r="EO18" s="1827"/>
      <c r="EP18" s="1827"/>
      <c r="EQ18" s="1827"/>
      <c r="ER18" s="1827"/>
      <c r="ES18" s="1827"/>
      <c r="ET18" s="1827"/>
      <c r="EU18" s="1827"/>
      <c r="EV18" s="1827"/>
      <c r="EW18" s="1827"/>
      <c r="EX18" s="1827"/>
      <c r="EY18" s="1827"/>
      <c r="EZ18" s="1827"/>
      <c r="FA18" s="1827"/>
      <c r="FB18" s="1827"/>
      <c r="FC18" s="1827"/>
      <c r="FD18" s="1827"/>
      <c r="FE18" s="1827"/>
      <c r="FF18" s="1827"/>
      <c r="FG18" s="1827"/>
      <c r="FH18" s="1827"/>
      <c r="FI18" s="1827"/>
      <c r="FJ18" s="1827"/>
      <c r="FK18" s="1827"/>
      <c r="FL18" s="1827"/>
      <c r="FM18" s="1827"/>
      <c r="FN18" s="1827"/>
      <c r="FO18" s="1827"/>
      <c r="FP18" s="1827"/>
      <c r="FQ18" s="1827"/>
      <c r="FR18" s="1827"/>
      <c r="FS18" s="1827"/>
      <c r="FT18" s="1827"/>
      <c r="FU18" s="1827"/>
      <c r="FV18" s="1827"/>
      <c r="FW18" s="1827"/>
      <c r="FX18" s="1827"/>
      <c r="FY18" s="1827"/>
      <c r="FZ18" s="1827"/>
      <c r="GA18" s="1827"/>
      <c r="GB18" s="1827"/>
      <c r="GC18" s="1827"/>
      <c r="GD18" s="1827"/>
      <c r="GE18" s="1827"/>
      <c r="GF18" s="1827"/>
      <c r="GG18" s="1827"/>
      <c r="GH18" s="1827"/>
      <c r="GI18" s="1827"/>
      <c r="GJ18" s="1827"/>
      <c r="GK18" s="1827"/>
      <c r="GL18" s="1827"/>
      <c r="GM18" s="1827"/>
      <c r="GN18" s="1827"/>
      <c r="GO18" s="1827"/>
      <c r="GP18" s="1827"/>
      <c r="GQ18" s="1827"/>
      <c r="GR18" s="1827"/>
      <c r="GS18" s="1827"/>
      <c r="GT18" s="1827"/>
      <c r="GU18" s="1827"/>
      <c r="GV18" s="1827"/>
      <c r="GW18" s="1827"/>
      <c r="GX18" s="1827"/>
      <c r="GY18" s="1827"/>
      <c r="GZ18" s="1827"/>
      <c r="HA18" s="1827"/>
      <c r="HB18" s="1827"/>
      <c r="HC18" s="1827"/>
      <c r="HD18" s="1827"/>
      <c r="HE18" s="1827"/>
      <c r="HF18" s="1827"/>
      <c r="HG18" s="1827"/>
      <c r="HH18" s="1827"/>
      <c r="HI18" s="1827"/>
      <c r="HJ18" s="1827"/>
      <c r="HK18" s="1827"/>
      <c r="HL18" s="1827"/>
      <c r="HM18" s="1827"/>
      <c r="HN18" s="1827"/>
      <c r="HO18" s="1827"/>
      <c r="HP18" s="1827"/>
      <c r="HQ18" s="1827"/>
      <c r="HR18" s="1827"/>
      <c r="HS18" s="1827"/>
      <c r="HT18" s="1827"/>
      <c r="HU18" s="1827"/>
      <c r="HV18" s="1827"/>
      <c r="HW18" s="1827"/>
      <c r="HX18" s="1827"/>
      <c r="HY18" s="1827"/>
      <c r="HZ18" s="1827"/>
      <c r="IA18" s="1827"/>
      <c r="IB18" s="1827"/>
      <c r="IC18" s="1827"/>
      <c r="ID18" s="1827"/>
      <c r="IE18" s="1827"/>
      <c r="IF18" s="1827"/>
      <c r="IG18" s="1827"/>
      <c r="IH18" s="1827"/>
      <c r="II18" s="1827"/>
      <c r="IJ18" s="1827"/>
      <c r="IK18" s="1827"/>
      <c r="IL18" s="1827"/>
      <c r="IM18" s="1827"/>
      <c r="IN18" s="1827"/>
      <c r="IO18" s="1827"/>
      <c r="IP18" s="1827"/>
      <c r="IQ18" s="1827"/>
      <c r="IR18" s="1827"/>
      <c r="IS18" s="1827"/>
      <c r="IT18" s="1827"/>
      <c r="IU18" s="1827"/>
      <c r="IV18" s="1827"/>
    </row>
    <row r="19" spans="1:256">
      <c r="A19" s="1831">
        <f>+A18+1</f>
        <v>6</v>
      </c>
      <c r="B19" s="1828" t="s">
        <v>516</v>
      </c>
      <c r="C19" s="1149">
        <f>+$H$14</f>
        <v>0</v>
      </c>
      <c r="D19" s="1149">
        <f>D18+C19</f>
        <v>0</v>
      </c>
      <c r="E19" s="1828">
        <v>31</v>
      </c>
      <c r="F19" s="964">
        <v>335</v>
      </c>
      <c r="G19" s="1839">
        <f t="shared" ref="G19:G30" si="0">F19/$F$18</f>
        <v>0.9178082191780822</v>
      </c>
      <c r="H19" s="1149">
        <f t="shared" ref="H19:H30" si="1">C19*G19</f>
        <v>0</v>
      </c>
      <c r="I19" s="1149">
        <f>I18+H19</f>
        <v>0</v>
      </c>
      <c r="J19" s="1827"/>
      <c r="K19" s="1827"/>
      <c r="L19" s="1827"/>
      <c r="M19" s="1827"/>
      <c r="N19" s="1827"/>
      <c r="O19" s="1827"/>
      <c r="P19" s="1827"/>
      <c r="Q19" s="1827"/>
      <c r="R19" s="1827"/>
      <c r="S19" s="1827"/>
      <c r="T19" s="1827"/>
      <c r="U19" s="1827"/>
      <c r="V19" s="1827"/>
      <c r="W19" s="1827"/>
      <c r="X19" s="1827"/>
      <c r="Y19" s="1827"/>
      <c r="Z19" s="1827"/>
      <c r="AA19" s="1827"/>
      <c r="AB19" s="1827"/>
      <c r="AC19" s="1827"/>
      <c r="AD19" s="1827"/>
      <c r="AE19" s="1827"/>
      <c r="AF19" s="1827"/>
      <c r="AG19" s="1827"/>
      <c r="AH19" s="1827"/>
      <c r="AI19" s="1827"/>
      <c r="AJ19" s="1827"/>
      <c r="AK19" s="1827"/>
      <c r="AL19" s="1827"/>
      <c r="AM19" s="1827"/>
      <c r="AN19" s="1827"/>
      <c r="AO19" s="1827"/>
      <c r="AP19" s="1827"/>
      <c r="AQ19" s="1827"/>
      <c r="AR19" s="1827"/>
      <c r="AS19" s="1827"/>
      <c r="AT19" s="1827"/>
      <c r="AU19" s="1827"/>
      <c r="AV19" s="1827"/>
      <c r="AW19" s="1827"/>
      <c r="AX19" s="1827"/>
      <c r="AY19" s="1827"/>
      <c r="AZ19" s="1827"/>
      <c r="BA19" s="1827"/>
      <c r="BB19" s="1827"/>
      <c r="BC19" s="1827"/>
      <c r="BD19" s="1827"/>
      <c r="BE19" s="1827"/>
      <c r="BF19" s="1827"/>
      <c r="BG19" s="1827"/>
      <c r="BH19" s="1827"/>
      <c r="BI19" s="1827"/>
      <c r="BJ19" s="1827"/>
      <c r="BK19" s="1827"/>
      <c r="BL19" s="1827"/>
      <c r="BM19" s="1827"/>
      <c r="BN19" s="1827"/>
      <c r="BO19" s="1827"/>
      <c r="BP19" s="1827"/>
      <c r="BQ19" s="1827"/>
      <c r="BR19" s="1827"/>
      <c r="BS19" s="1827"/>
      <c r="BT19" s="1827"/>
      <c r="BU19" s="1827"/>
      <c r="BV19" s="1827"/>
      <c r="BW19" s="1827"/>
      <c r="BX19" s="1827"/>
      <c r="BY19" s="1827"/>
      <c r="BZ19" s="1827"/>
      <c r="CA19" s="1827"/>
      <c r="CB19" s="1827"/>
      <c r="CC19" s="1827"/>
      <c r="CD19" s="1827"/>
      <c r="CE19" s="1827"/>
      <c r="CF19" s="1827"/>
      <c r="CG19" s="1827"/>
      <c r="CH19" s="1827"/>
      <c r="CI19" s="1827"/>
      <c r="CJ19" s="1827"/>
      <c r="CK19" s="1827"/>
      <c r="CL19" s="1827"/>
      <c r="CM19" s="1827"/>
      <c r="CN19" s="1827"/>
      <c r="CO19" s="1827"/>
      <c r="CP19" s="1827"/>
      <c r="CQ19" s="1827"/>
      <c r="CR19" s="1827"/>
      <c r="CS19" s="1827"/>
      <c r="CT19" s="1827"/>
      <c r="CU19" s="1827"/>
      <c r="CV19" s="1827"/>
      <c r="CW19" s="1827"/>
      <c r="CX19" s="1827"/>
      <c r="CY19" s="1827"/>
      <c r="CZ19" s="1827"/>
      <c r="DA19" s="1827"/>
      <c r="DB19" s="1827"/>
      <c r="DC19" s="1827"/>
      <c r="DD19" s="1827"/>
      <c r="DE19" s="1827"/>
      <c r="DF19" s="1827"/>
      <c r="DG19" s="1827"/>
      <c r="DH19" s="1827"/>
      <c r="DI19" s="1827"/>
      <c r="DJ19" s="1827"/>
      <c r="DK19" s="1827"/>
      <c r="DL19" s="1827"/>
      <c r="DM19" s="1827"/>
      <c r="DN19" s="1827"/>
      <c r="DO19" s="1827"/>
      <c r="DP19" s="1827"/>
      <c r="DQ19" s="1827"/>
      <c r="DR19" s="1827"/>
      <c r="DS19" s="1827"/>
      <c r="DT19" s="1827"/>
      <c r="DU19" s="1827"/>
      <c r="DV19" s="1827"/>
      <c r="DW19" s="1827"/>
      <c r="DX19" s="1827"/>
      <c r="DY19" s="1827"/>
      <c r="DZ19" s="1827"/>
      <c r="EA19" s="1827"/>
      <c r="EB19" s="1827"/>
      <c r="EC19" s="1827"/>
      <c r="ED19" s="1827"/>
      <c r="EE19" s="1827"/>
      <c r="EF19" s="1827"/>
      <c r="EG19" s="1827"/>
      <c r="EH19" s="1827"/>
      <c r="EI19" s="1827"/>
      <c r="EJ19" s="1827"/>
      <c r="EK19" s="1827"/>
      <c r="EL19" s="1827"/>
      <c r="EM19" s="1827"/>
      <c r="EN19" s="1827"/>
      <c r="EO19" s="1827"/>
      <c r="EP19" s="1827"/>
      <c r="EQ19" s="1827"/>
      <c r="ER19" s="1827"/>
      <c r="ES19" s="1827"/>
      <c r="ET19" s="1827"/>
      <c r="EU19" s="1827"/>
      <c r="EV19" s="1827"/>
      <c r="EW19" s="1827"/>
      <c r="EX19" s="1827"/>
      <c r="EY19" s="1827"/>
      <c r="EZ19" s="1827"/>
      <c r="FA19" s="1827"/>
      <c r="FB19" s="1827"/>
      <c r="FC19" s="1827"/>
      <c r="FD19" s="1827"/>
      <c r="FE19" s="1827"/>
      <c r="FF19" s="1827"/>
      <c r="FG19" s="1827"/>
      <c r="FH19" s="1827"/>
      <c r="FI19" s="1827"/>
      <c r="FJ19" s="1827"/>
      <c r="FK19" s="1827"/>
      <c r="FL19" s="1827"/>
      <c r="FM19" s="1827"/>
      <c r="FN19" s="1827"/>
      <c r="FO19" s="1827"/>
      <c r="FP19" s="1827"/>
      <c r="FQ19" s="1827"/>
      <c r="FR19" s="1827"/>
      <c r="FS19" s="1827"/>
      <c r="FT19" s="1827"/>
      <c r="FU19" s="1827"/>
      <c r="FV19" s="1827"/>
      <c r="FW19" s="1827"/>
      <c r="FX19" s="1827"/>
      <c r="FY19" s="1827"/>
      <c r="FZ19" s="1827"/>
      <c r="GA19" s="1827"/>
      <c r="GB19" s="1827"/>
      <c r="GC19" s="1827"/>
      <c r="GD19" s="1827"/>
      <c r="GE19" s="1827"/>
      <c r="GF19" s="1827"/>
      <c r="GG19" s="1827"/>
      <c r="GH19" s="1827"/>
      <c r="GI19" s="1827"/>
      <c r="GJ19" s="1827"/>
      <c r="GK19" s="1827"/>
      <c r="GL19" s="1827"/>
      <c r="GM19" s="1827"/>
      <c r="GN19" s="1827"/>
      <c r="GO19" s="1827"/>
      <c r="GP19" s="1827"/>
      <c r="GQ19" s="1827"/>
      <c r="GR19" s="1827"/>
      <c r="GS19" s="1827"/>
      <c r="GT19" s="1827"/>
      <c r="GU19" s="1827"/>
      <c r="GV19" s="1827"/>
      <c r="GW19" s="1827"/>
      <c r="GX19" s="1827"/>
      <c r="GY19" s="1827"/>
      <c r="GZ19" s="1827"/>
      <c r="HA19" s="1827"/>
      <c r="HB19" s="1827"/>
      <c r="HC19" s="1827"/>
      <c r="HD19" s="1827"/>
      <c r="HE19" s="1827"/>
      <c r="HF19" s="1827"/>
      <c r="HG19" s="1827"/>
      <c r="HH19" s="1827"/>
      <c r="HI19" s="1827"/>
      <c r="HJ19" s="1827"/>
      <c r="HK19" s="1827"/>
      <c r="HL19" s="1827"/>
      <c r="HM19" s="1827"/>
      <c r="HN19" s="1827"/>
      <c r="HO19" s="1827"/>
      <c r="HP19" s="1827"/>
      <c r="HQ19" s="1827"/>
      <c r="HR19" s="1827"/>
      <c r="HS19" s="1827"/>
      <c r="HT19" s="1827"/>
      <c r="HU19" s="1827"/>
      <c r="HV19" s="1827"/>
      <c r="HW19" s="1827"/>
      <c r="HX19" s="1827"/>
      <c r="HY19" s="1827"/>
      <c r="HZ19" s="1827"/>
      <c r="IA19" s="1827"/>
      <c r="IB19" s="1827"/>
      <c r="IC19" s="1827"/>
      <c r="ID19" s="1827"/>
      <c r="IE19" s="1827"/>
      <c r="IF19" s="1827"/>
      <c r="IG19" s="1827"/>
      <c r="IH19" s="1827"/>
      <c r="II19" s="1827"/>
      <c r="IJ19" s="1827"/>
      <c r="IK19" s="1827"/>
      <c r="IL19" s="1827"/>
      <c r="IM19" s="1827"/>
      <c r="IN19" s="1827"/>
      <c r="IO19" s="1827"/>
      <c r="IP19" s="1827"/>
      <c r="IQ19" s="1827"/>
      <c r="IR19" s="1827"/>
      <c r="IS19" s="1827"/>
      <c r="IT19" s="1827"/>
      <c r="IU19" s="1827"/>
      <c r="IV19" s="1827"/>
    </row>
    <row r="20" spans="1:256">
      <c r="A20" s="1831">
        <f t="shared" ref="A20:A30" si="2">+A19+1</f>
        <v>7</v>
      </c>
      <c r="B20" s="1828" t="s">
        <v>517</v>
      </c>
      <c r="C20" s="1149">
        <f t="shared" ref="C20:C30" si="3">+$H$14</f>
        <v>0</v>
      </c>
      <c r="D20" s="1149">
        <f>D19+C20</f>
        <v>0</v>
      </c>
      <c r="E20" s="964">
        <v>28</v>
      </c>
      <c r="F20" s="964">
        <v>307</v>
      </c>
      <c r="G20" s="1839">
        <f t="shared" si="0"/>
        <v>0.84109589041095889</v>
      </c>
      <c r="H20" s="1149">
        <f t="shared" si="1"/>
        <v>0</v>
      </c>
      <c r="I20" s="1149">
        <f t="shared" ref="I20:I30" si="4">I19+H20</f>
        <v>0</v>
      </c>
      <c r="J20" s="1827"/>
      <c r="K20" s="1827"/>
      <c r="L20" s="1827"/>
      <c r="M20" s="1827"/>
      <c r="N20" s="1827"/>
      <c r="O20" s="1827"/>
      <c r="P20" s="1827"/>
      <c r="Q20" s="1827"/>
      <c r="R20" s="1827"/>
      <c r="S20" s="1827"/>
      <c r="T20" s="1827"/>
      <c r="U20" s="1827"/>
      <c r="V20" s="1827"/>
      <c r="W20" s="1827"/>
      <c r="X20" s="1827"/>
      <c r="Y20" s="1827"/>
      <c r="Z20" s="1827"/>
      <c r="AA20" s="1827"/>
      <c r="AB20" s="1827"/>
      <c r="AC20" s="1827"/>
      <c r="AD20" s="1827"/>
      <c r="AE20" s="1827"/>
      <c r="AF20" s="1827"/>
      <c r="AG20" s="1827"/>
      <c r="AH20" s="1827"/>
      <c r="AI20" s="1827"/>
      <c r="AJ20" s="1827"/>
      <c r="AK20" s="1827"/>
      <c r="AL20" s="1827"/>
      <c r="AM20" s="1827"/>
      <c r="AN20" s="1827"/>
      <c r="AO20" s="1827"/>
      <c r="AP20" s="1827"/>
      <c r="AQ20" s="1827"/>
      <c r="AR20" s="1827"/>
      <c r="AS20" s="1827"/>
      <c r="AT20" s="1827"/>
      <c r="AU20" s="1827"/>
      <c r="AV20" s="1827"/>
      <c r="AW20" s="1827"/>
      <c r="AX20" s="1827"/>
      <c r="AY20" s="1827"/>
      <c r="AZ20" s="1827"/>
      <c r="BA20" s="1827"/>
      <c r="BB20" s="1827"/>
      <c r="BC20" s="1827"/>
      <c r="BD20" s="1827"/>
      <c r="BE20" s="1827"/>
      <c r="BF20" s="1827"/>
      <c r="BG20" s="1827"/>
      <c r="BH20" s="1827"/>
      <c r="BI20" s="1827"/>
      <c r="BJ20" s="1827"/>
      <c r="BK20" s="1827"/>
      <c r="BL20" s="1827"/>
      <c r="BM20" s="1827"/>
      <c r="BN20" s="1827"/>
      <c r="BO20" s="1827"/>
      <c r="BP20" s="1827"/>
      <c r="BQ20" s="1827"/>
      <c r="BR20" s="1827"/>
      <c r="BS20" s="1827"/>
      <c r="BT20" s="1827"/>
      <c r="BU20" s="1827"/>
      <c r="BV20" s="1827"/>
      <c r="BW20" s="1827"/>
      <c r="BX20" s="1827"/>
      <c r="BY20" s="1827"/>
      <c r="BZ20" s="1827"/>
      <c r="CA20" s="1827"/>
      <c r="CB20" s="1827"/>
      <c r="CC20" s="1827"/>
      <c r="CD20" s="1827"/>
      <c r="CE20" s="1827"/>
      <c r="CF20" s="1827"/>
      <c r="CG20" s="1827"/>
      <c r="CH20" s="1827"/>
      <c r="CI20" s="1827"/>
      <c r="CJ20" s="1827"/>
      <c r="CK20" s="1827"/>
      <c r="CL20" s="1827"/>
      <c r="CM20" s="1827"/>
      <c r="CN20" s="1827"/>
      <c r="CO20" s="1827"/>
      <c r="CP20" s="1827"/>
      <c r="CQ20" s="1827"/>
      <c r="CR20" s="1827"/>
      <c r="CS20" s="1827"/>
      <c r="CT20" s="1827"/>
      <c r="CU20" s="1827"/>
      <c r="CV20" s="1827"/>
      <c r="CW20" s="1827"/>
      <c r="CX20" s="1827"/>
      <c r="CY20" s="1827"/>
      <c r="CZ20" s="1827"/>
      <c r="DA20" s="1827"/>
      <c r="DB20" s="1827"/>
      <c r="DC20" s="1827"/>
      <c r="DD20" s="1827"/>
      <c r="DE20" s="1827"/>
      <c r="DF20" s="1827"/>
      <c r="DG20" s="1827"/>
      <c r="DH20" s="1827"/>
      <c r="DI20" s="1827"/>
      <c r="DJ20" s="1827"/>
      <c r="DK20" s="1827"/>
      <c r="DL20" s="1827"/>
      <c r="DM20" s="1827"/>
      <c r="DN20" s="1827"/>
      <c r="DO20" s="1827"/>
      <c r="DP20" s="1827"/>
      <c r="DQ20" s="1827"/>
      <c r="DR20" s="1827"/>
      <c r="DS20" s="1827"/>
      <c r="DT20" s="1827"/>
      <c r="DU20" s="1827"/>
      <c r="DV20" s="1827"/>
      <c r="DW20" s="1827"/>
      <c r="DX20" s="1827"/>
      <c r="DY20" s="1827"/>
      <c r="DZ20" s="1827"/>
      <c r="EA20" s="1827"/>
      <c r="EB20" s="1827"/>
      <c r="EC20" s="1827"/>
      <c r="ED20" s="1827"/>
      <c r="EE20" s="1827"/>
      <c r="EF20" s="1827"/>
      <c r="EG20" s="1827"/>
      <c r="EH20" s="1827"/>
      <c r="EI20" s="1827"/>
      <c r="EJ20" s="1827"/>
      <c r="EK20" s="1827"/>
      <c r="EL20" s="1827"/>
      <c r="EM20" s="1827"/>
      <c r="EN20" s="1827"/>
      <c r="EO20" s="1827"/>
      <c r="EP20" s="1827"/>
      <c r="EQ20" s="1827"/>
      <c r="ER20" s="1827"/>
      <c r="ES20" s="1827"/>
      <c r="ET20" s="1827"/>
      <c r="EU20" s="1827"/>
      <c r="EV20" s="1827"/>
      <c r="EW20" s="1827"/>
      <c r="EX20" s="1827"/>
      <c r="EY20" s="1827"/>
      <c r="EZ20" s="1827"/>
      <c r="FA20" s="1827"/>
      <c r="FB20" s="1827"/>
      <c r="FC20" s="1827"/>
      <c r="FD20" s="1827"/>
      <c r="FE20" s="1827"/>
      <c r="FF20" s="1827"/>
      <c r="FG20" s="1827"/>
      <c r="FH20" s="1827"/>
      <c r="FI20" s="1827"/>
      <c r="FJ20" s="1827"/>
      <c r="FK20" s="1827"/>
      <c r="FL20" s="1827"/>
      <c r="FM20" s="1827"/>
      <c r="FN20" s="1827"/>
      <c r="FO20" s="1827"/>
      <c r="FP20" s="1827"/>
      <c r="FQ20" s="1827"/>
      <c r="FR20" s="1827"/>
      <c r="FS20" s="1827"/>
      <c r="FT20" s="1827"/>
      <c r="FU20" s="1827"/>
      <c r="FV20" s="1827"/>
      <c r="FW20" s="1827"/>
      <c r="FX20" s="1827"/>
      <c r="FY20" s="1827"/>
      <c r="FZ20" s="1827"/>
      <c r="GA20" s="1827"/>
      <c r="GB20" s="1827"/>
      <c r="GC20" s="1827"/>
      <c r="GD20" s="1827"/>
      <c r="GE20" s="1827"/>
      <c r="GF20" s="1827"/>
      <c r="GG20" s="1827"/>
      <c r="GH20" s="1827"/>
      <c r="GI20" s="1827"/>
      <c r="GJ20" s="1827"/>
      <c r="GK20" s="1827"/>
      <c r="GL20" s="1827"/>
      <c r="GM20" s="1827"/>
      <c r="GN20" s="1827"/>
      <c r="GO20" s="1827"/>
      <c r="GP20" s="1827"/>
      <c r="GQ20" s="1827"/>
      <c r="GR20" s="1827"/>
      <c r="GS20" s="1827"/>
      <c r="GT20" s="1827"/>
      <c r="GU20" s="1827"/>
      <c r="GV20" s="1827"/>
      <c r="GW20" s="1827"/>
      <c r="GX20" s="1827"/>
      <c r="GY20" s="1827"/>
      <c r="GZ20" s="1827"/>
      <c r="HA20" s="1827"/>
      <c r="HB20" s="1827"/>
      <c r="HC20" s="1827"/>
      <c r="HD20" s="1827"/>
      <c r="HE20" s="1827"/>
      <c r="HF20" s="1827"/>
      <c r="HG20" s="1827"/>
      <c r="HH20" s="1827"/>
      <c r="HI20" s="1827"/>
      <c r="HJ20" s="1827"/>
      <c r="HK20" s="1827"/>
      <c r="HL20" s="1827"/>
      <c r="HM20" s="1827"/>
      <c r="HN20" s="1827"/>
      <c r="HO20" s="1827"/>
      <c r="HP20" s="1827"/>
      <c r="HQ20" s="1827"/>
      <c r="HR20" s="1827"/>
      <c r="HS20" s="1827"/>
      <c r="HT20" s="1827"/>
      <c r="HU20" s="1827"/>
      <c r="HV20" s="1827"/>
      <c r="HW20" s="1827"/>
      <c r="HX20" s="1827"/>
      <c r="HY20" s="1827"/>
      <c r="HZ20" s="1827"/>
      <c r="IA20" s="1827"/>
      <c r="IB20" s="1827"/>
      <c r="IC20" s="1827"/>
      <c r="ID20" s="1827"/>
      <c r="IE20" s="1827"/>
      <c r="IF20" s="1827"/>
      <c r="IG20" s="1827"/>
      <c r="IH20" s="1827"/>
      <c r="II20" s="1827"/>
      <c r="IJ20" s="1827"/>
      <c r="IK20" s="1827"/>
      <c r="IL20" s="1827"/>
      <c r="IM20" s="1827"/>
      <c r="IN20" s="1827"/>
      <c r="IO20" s="1827"/>
      <c r="IP20" s="1827"/>
      <c r="IQ20" s="1827"/>
      <c r="IR20" s="1827"/>
      <c r="IS20" s="1827"/>
      <c r="IT20" s="1827"/>
      <c r="IU20" s="1827"/>
      <c r="IV20" s="1827"/>
    </row>
    <row r="21" spans="1:256">
      <c r="A21" s="1831">
        <f t="shared" si="2"/>
        <v>8</v>
      </c>
      <c r="B21" s="1828" t="s">
        <v>325</v>
      </c>
      <c r="C21" s="1149">
        <f t="shared" si="3"/>
        <v>0</v>
      </c>
      <c r="D21" s="1149">
        <f>D20+C21</f>
        <v>0</v>
      </c>
      <c r="E21" s="1828">
        <v>31</v>
      </c>
      <c r="F21" s="964">
        <v>276</v>
      </c>
      <c r="G21" s="1839">
        <f t="shared" si="0"/>
        <v>0.75616438356164384</v>
      </c>
      <c r="H21" s="1149">
        <f t="shared" si="1"/>
        <v>0</v>
      </c>
      <c r="I21" s="1149">
        <f t="shared" si="4"/>
        <v>0</v>
      </c>
      <c r="J21" s="1827"/>
      <c r="K21" s="1827"/>
      <c r="L21" s="1827"/>
      <c r="M21" s="1827"/>
      <c r="N21" s="1827"/>
      <c r="O21" s="1827"/>
      <c r="P21" s="1827"/>
      <c r="Q21" s="1827"/>
      <c r="R21" s="1827"/>
      <c r="S21" s="1827"/>
      <c r="T21" s="1827"/>
      <c r="U21" s="1827"/>
      <c r="V21" s="1827"/>
      <c r="W21" s="1827"/>
      <c r="X21" s="1827"/>
      <c r="Y21" s="1827"/>
      <c r="Z21" s="1827"/>
      <c r="AA21" s="1827"/>
      <c r="AB21" s="1827"/>
      <c r="AC21" s="1827"/>
      <c r="AD21" s="1827"/>
      <c r="AE21" s="1827"/>
      <c r="AF21" s="1827"/>
      <c r="AG21" s="1827"/>
      <c r="AH21" s="1827"/>
      <c r="AI21" s="1827"/>
      <c r="AJ21" s="1827"/>
      <c r="AK21" s="1827"/>
      <c r="AL21" s="1827"/>
      <c r="AM21" s="1827"/>
      <c r="AN21" s="1827"/>
      <c r="AO21" s="1827"/>
      <c r="AP21" s="1827"/>
      <c r="AQ21" s="1827"/>
      <c r="AR21" s="1827"/>
      <c r="AS21" s="1827"/>
      <c r="AT21" s="1827"/>
      <c r="AU21" s="1827"/>
      <c r="AV21" s="1827"/>
      <c r="AW21" s="1827"/>
      <c r="AX21" s="1827"/>
      <c r="AY21" s="1827"/>
      <c r="AZ21" s="1827"/>
      <c r="BA21" s="1827"/>
      <c r="BB21" s="1827"/>
      <c r="BC21" s="1827"/>
      <c r="BD21" s="1827"/>
      <c r="BE21" s="1827"/>
      <c r="BF21" s="1827"/>
      <c r="BG21" s="1827"/>
      <c r="BH21" s="1827"/>
      <c r="BI21" s="1827"/>
      <c r="BJ21" s="1827"/>
      <c r="BK21" s="1827"/>
      <c r="BL21" s="1827"/>
      <c r="BM21" s="1827"/>
      <c r="BN21" s="1827"/>
      <c r="BO21" s="1827"/>
      <c r="BP21" s="1827"/>
      <c r="BQ21" s="1827"/>
      <c r="BR21" s="1827"/>
      <c r="BS21" s="1827"/>
      <c r="BT21" s="1827"/>
      <c r="BU21" s="1827"/>
      <c r="BV21" s="1827"/>
      <c r="BW21" s="1827"/>
      <c r="BX21" s="1827"/>
      <c r="BY21" s="1827"/>
      <c r="BZ21" s="1827"/>
      <c r="CA21" s="1827"/>
      <c r="CB21" s="1827"/>
      <c r="CC21" s="1827"/>
      <c r="CD21" s="1827"/>
      <c r="CE21" s="1827"/>
      <c r="CF21" s="1827"/>
      <c r="CG21" s="1827"/>
      <c r="CH21" s="1827"/>
      <c r="CI21" s="1827"/>
      <c r="CJ21" s="1827"/>
      <c r="CK21" s="1827"/>
      <c r="CL21" s="1827"/>
      <c r="CM21" s="1827"/>
      <c r="CN21" s="1827"/>
      <c r="CO21" s="1827"/>
      <c r="CP21" s="1827"/>
      <c r="CQ21" s="1827"/>
      <c r="CR21" s="1827"/>
      <c r="CS21" s="1827"/>
      <c r="CT21" s="1827"/>
      <c r="CU21" s="1827"/>
      <c r="CV21" s="1827"/>
      <c r="CW21" s="1827"/>
      <c r="CX21" s="1827"/>
      <c r="CY21" s="1827"/>
      <c r="CZ21" s="1827"/>
      <c r="DA21" s="1827"/>
      <c r="DB21" s="1827"/>
      <c r="DC21" s="1827"/>
      <c r="DD21" s="1827"/>
      <c r="DE21" s="1827"/>
      <c r="DF21" s="1827"/>
      <c r="DG21" s="1827"/>
      <c r="DH21" s="1827"/>
      <c r="DI21" s="1827"/>
      <c r="DJ21" s="1827"/>
      <c r="DK21" s="1827"/>
      <c r="DL21" s="1827"/>
      <c r="DM21" s="1827"/>
      <c r="DN21" s="1827"/>
      <c r="DO21" s="1827"/>
      <c r="DP21" s="1827"/>
      <c r="DQ21" s="1827"/>
      <c r="DR21" s="1827"/>
      <c r="DS21" s="1827"/>
      <c r="DT21" s="1827"/>
      <c r="DU21" s="1827"/>
      <c r="DV21" s="1827"/>
      <c r="DW21" s="1827"/>
      <c r="DX21" s="1827"/>
      <c r="DY21" s="1827"/>
      <c r="DZ21" s="1827"/>
      <c r="EA21" s="1827"/>
      <c r="EB21" s="1827"/>
      <c r="EC21" s="1827"/>
      <c r="ED21" s="1827"/>
      <c r="EE21" s="1827"/>
      <c r="EF21" s="1827"/>
      <c r="EG21" s="1827"/>
      <c r="EH21" s="1827"/>
      <c r="EI21" s="1827"/>
      <c r="EJ21" s="1827"/>
      <c r="EK21" s="1827"/>
      <c r="EL21" s="1827"/>
      <c r="EM21" s="1827"/>
      <c r="EN21" s="1827"/>
      <c r="EO21" s="1827"/>
      <c r="EP21" s="1827"/>
      <c r="EQ21" s="1827"/>
      <c r="ER21" s="1827"/>
      <c r="ES21" s="1827"/>
      <c r="ET21" s="1827"/>
      <c r="EU21" s="1827"/>
      <c r="EV21" s="1827"/>
      <c r="EW21" s="1827"/>
      <c r="EX21" s="1827"/>
      <c r="EY21" s="1827"/>
      <c r="EZ21" s="1827"/>
      <c r="FA21" s="1827"/>
      <c r="FB21" s="1827"/>
      <c r="FC21" s="1827"/>
      <c r="FD21" s="1827"/>
      <c r="FE21" s="1827"/>
      <c r="FF21" s="1827"/>
      <c r="FG21" s="1827"/>
      <c r="FH21" s="1827"/>
      <c r="FI21" s="1827"/>
      <c r="FJ21" s="1827"/>
      <c r="FK21" s="1827"/>
      <c r="FL21" s="1827"/>
      <c r="FM21" s="1827"/>
      <c r="FN21" s="1827"/>
      <c r="FO21" s="1827"/>
      <c r="FP21" s="1827"/>
      <c r="FQ21" s="1827"/>
      <c r="FR21" s="1827"/>
      <c r="FS21" s="1827"/>
      <c r="FT21" s="1827"/>
      <c r="FU21" s="1827"/>
      <c r="FV21" s="1827"/>
      <c r="FW21" s="1827"/>
      <c r="FX21" s="1827"/>
      <c r="FY21" s="1827"/>
      <c r="FZ21" s="1827"/>
      <c r="GA21" s="1827"/>
      <c r="GB21" s="1827"/>
      <c r="GC21" s="1827"/>
      <c r="GD21" s="1827"/>
      <c r="GE21" s="1827"/>
      <c r="GF21" s="1827"/>
      <c r="GG21" s="1827"/>
      <c r="GH21" s="1827"/>
      <c r="GI21" s="1827"/>
      <c r="GJ21" s="1827"/>
      <c r="GK21" s="1827"/>
      <c r="GL21" s="1827"/>
      <c r="GM21" s="1827"/>
      <c r="GN21" s="1827"/>
      <c r="GO21" s="1827"/>
      <c r="GP21" s="1827"/>
      <c r="GQ21" s="1827"/>
      <c r="GR21" s="1827"/>
      <c r="GS21" s="1827"/>
      <c r="GT21" s="1827"/>
      <c r="GU21" s="1827"/>
      <c r="GV21" s="1827"/>
      <c r="GW21" s="1827"/>
      <c r="GX21" s="1827"/>
      <c r="GY21" s="1827"/>
      <c r="GZ21" s="1827"/>
      <c r="HA21" s="1827"/>
      <c r="HB21" s="1827"/>
      <c r="HC21" s="1827"/>
      <c r="HD21" s="1827"/>
      <c r="HE21" s="1827"/>
      <c r="HF21" s="1827"/>
      <c r="HG21" s="1827"/>
      <c r="HH21" s="1827"/>
      <c r="HI21" s="1827"/>
      <c r="HJ21" s="1827"/>
      <c r="HK21" s="1827"/>
      <c r="HL21" s="1827"/>
      <c r="HM21" s="1827"/>
      <c r="HN21" s="1827"/>
      <c r="HO21" s="1827"/>
      <c r="HP21" s="1827"/>
      <c r="HQ21" s="1827"/>
      <c r="HR21" s="1827"/>
      <c r="HS21" s="1827"/>
      <c r="HT21" s="1827"/>
      <c r="HU21" s="1827"/>
      <c r="HV21" s="1827"/>
      <c r="HW21" s="1827"/>
      <c r="HX21" s="1827"/>
      <c r="HY21" s="1827"/>
      <c r="HZ21" s="1827"/>
      <c r="IA21" s="1827"/>
      <c r="IB21" s="1827"/>
      <c r="IC21" s="1827"/>
      <c r="ID21" s="1827"/>
      <c r="IE21" s="1827"/>
      <c r="IF21" s="1827"/>
      <c r="IG21" s="1827"/>
      <c r="IH21" s="1827"/>
      <c r="II21" s="1827"/>
      <c r="IJ21" s="1827"/>
      <c r="IK21" s="1827"/>
      <c r="IL21" s="1827"/>
      <c r="IM21" s="1827"/>
      <c r="IN21" s="1827"/>
      <c r="IO21" s="1827"/>
      <c r="IP21" s="1827"/>
      <c r="IQ21" s="1827"/>
      <c r="IR21" s="1827"/>
      <c r="IS21" s="1827"/>
      <c r="IT21" s="1827"/>
      <c r="IU21" s="1827"/>
      <c r="IV21" s="1827"/>
    </row>
    <row r="22" spans="1:256">
      <c r="A22" s="1831">
        <f t="shared" si="2"/>
        <v>9</v>
      </c>
      <c r="B22" s="1828" t="s">
        <v>326</v>
      </c>
      <c r="C22" s="1149">
        <f t="shared" si="3"/>
        <v>0</v>
      </c>
      <c r="D22" s="1149">
        <f t="shared" ref="D22:D30" si="5">D21+C22</f>
        <v>0</v>
      </c>
      <c r="E22" s="1828">
        <v>30</v>
      </c>
      <c r="F22" s="964">
        <v>246</v>
      </c>
      <c r="G22" s="1839">
        <f t="shared" si="0"/>
        <v>0.67397260273972603</v>
      </c>
      <c r="H22" s="1149">
        <f t="shared" si="1"/>
        <v>0</v>
      </c>
      <c r="I22" s="1149">
        <f t="shared" si="4"/>
        <v>0</v>
      </c>
      <c r="J22" s="1827"/>
      <c r="K22" s="1827"/>
      <c r="L22" s="1827"/>
      <c r="M22" s="1827"/>
      <c r="N22" s="1827"/>
      <c r="O22" s="1827"/>
      <c r="P22" s="1827"/>
      <c r="Q22" s="1827"/>
      <c r="R22" s="1827"/>
      <c r="S22" s="1827"/>
      <c r="T22" s="1827"/>
      <c r="U22" s="1827"/>
      <c r="V22" s="1827"/>
      <c r="W22" s="1827"/>
      <c r="X22" s="1827"/>
      <c r="Y22" s="1827"/>
      <c r="Z22" s="1827"/>
      <c r="AA22" s="1827"/>
      <c r="AB22" s="1827"/>
      <c r="AC22" s="1827"/>
      <c r="AD22" s="1827"/>
      <c r="AE22" s="1827"/>
      <c r="AF22" s="1827"/>
      <c r="AG22" s="1827"/>
      <c r="AH22" s="1827"/>
      <c r="AI22" s="1827"/>
      <c r="AJ22" s="1827"/>
      <c r="AK22" s="1827"/>
      <c r="AL22" s="1827"/>
      <c r="AM22" s="1827"/>
      <c r="AN22" s="1827"/>
      <c r="AO22" s="1827"/>
      <c r="AP22" s="1827"/>
      <c r="AQ22" s="1827"/>
      <c r="AR22" s="1827"/>
      <c r="AS22" s="1827"/>
      <c r="AT22" s="1827"/>
      <c r="AU22" s="1827"/>
      <c r="AV22" s="1827"/>
      <c r="AW22" s="1827"/>
      <c r="AX22" s="1827"/>
      <c r="AY22" s="1827"/>
      <c r="AZ22" s="1827"/>
      <c r="BA22" s="1827"/>
      <c r="BB22" s="1827"/>
      <c r="BC22" s="1827"/>
      <c r="BD22" s="1827"/>
      <c r="BE22" s="1827"/>
      <c r="BF22" s="1827"/>
      <c r="BG22" s="1827"/>
      <c r="BH22" s="1827"/>
      <c r="BI22" s="1827"/>
      <c r="BJ22" s="1827"/>
      <c r="BK22" s="1827"/>
      <c r="BL22" s="1827"/>
      <c r="BM22" s="1827"/>
      <c r="BN22" s="1827"/>
      <c r="BO22" s="1827"/>
      <c r="BP22" s="1827"/>
      <c r="BQ22" s="1827"/>
      <c r="BR22" s="1827"/>
      <c r="BS22" s="1827"/>
      <c r="BT22" s="1827"/>
      <c r="BU22" s="1827"/>
      <c r="BV22" s="1827"/>
      <c r="BW22" s="1827"/>
      <c r="BX22" s="1827"/>
      <c r="BY22" s="1827"/>
      <c r="BZ22" s="1827"/>
      <c r="CA22" s="1827"/>
      <c r="CB22" s="1827"/>
      <c r="CC22" s="1827"/>
      <c r="CD22" s="1827"/>
      <c r="CE22" s="1827"/>
      <c r="CF22" s="1827"/>
      <c r="CG22" s="1827"/>
      <c r="CH22" s="1827"/>
      <c r="CI22" s="1827"/>
      <c r="CJ22" s="1827"/>
      <c r="CK22" s="1827"/>
      <c r="CL22" s="1827"/>
      <c r="CM22" s="1827"/>
      <c r="CN22" s="1827"/>
      <c r="CO22" s="1827"/>
      <c r="CP22" s="1827"/>
      <c r="CQ22" s="1827"/>
      <c r="CR22" s="1827"/>
      <c r="CS22" s="1827"/>
      <c r="CT22" s="1827"/>
      <c r="CU22" s="1827"/>
      <c r="CV22" s="1827"/>
      <c r="CW22" s="1827"/>
      <c r="CX22" s="1827"/>
      <c r="CY22" s="1827"/>
      <c r="CZ22" s="1827"/>
      <c r="DA22" s="1827"/>
      <c r="DB22" s="1827"/>
      <c r="DC22" s="1827"/>
      <c r="DD22" s="1827"/>
      <c r="DE22" s="1827"/>
      <c r="DF22" s="1827"/>
      <c r="DG22" s="1827"/>
      <c r="DH22" s="1827"/>
      <c r="DI22" s="1827"/>
      <c r="DJ22" s="1827"/>
      <c r="DK22" s="1827"/>
      <c r="DL22" s="1827"/>
      <c r="DM22" s="1827"/>
      <c r="DN22" s="1827"/>
      <c r="DO22" s="1827"/>
      <c r="DP22" s="1827"/>
      <c r="DQ22" s="1827"/>
      <c r="DR22" s="1827"/>
      <c r="DS22" s="1827"/>
      <c r="DT22" s="1827"/>
      <c r="DU22" s="1827"/>
      <c r="DV22" s="1827"/>
      <c r="DW22" s="1827"/>
      <c r="DX22" s="1827"/>
      <c r="DY22" s="1827"/>
      <c r="DZ22" s="1827"/>
      <c r="EA22" s="1827"/>
      <c r="EB22" s="1827"/>
      <c r="EC22" s="1827"/>
      <c r="ED22" s="1827"/>
      <c r="EE22" s="1827"/>
      <c r="EF22" s="1827"/>
      <c r="EG22" s="1827"/>
      <c r="EH22" s="1827"/>
      <c r="EI22" s="1827"/>
      <c r="EJ22" s="1827"/>
      <c r="EK22" s="1827"/>
      <c r="EL22" s="1827"/>
      <c r="EM22" s="1827"/>
      <c r="EN22" s="1827"/>
      <c r="EO22" s="1827"/>
      <c r="EP22" s="1827"/>
      <c r="EQ22" s="1827"/>
      <c r="ER22" s="1827"/>
      <c r="ES22" s="1827"/>
      <c r="ET22" s="1827"/>
      <c r="EU22" s="1827"/>
      <c r="EV22" s="1827"/>
      <c r="EW22" s="1827"/>
      <c r="EX22" s="1827"/>
      <c r="EY22" s="1827"/>
      <c r="EZ22" s="1827"/>
      <c r="FA22" s="1827"/>
      <c r="FB22" s="1827"/>
      <c r="FC22" s="1827"/>
      <c r="FD22" s="1827"/>
      <c r="FE22" s="1827"/>
      <c r="FF22" s="1827"/>
      <c r="FG22" s="1827"/>
      <c r="FH22" s="1827"/>
      <c r="FI22" s="1827"/>
      <c r="FJ22" s="1827"/>
      <c r="FK22" s="1827"/>
      <c r="FL22" s="1827"/>
      <c r="FM22" s="1827"/>
      <c r="FN22" s="1827"/>
      <c r="FO22" s="1827"/>
      <c r="FP22" s="1827"/>
      <c r="FQ22" s="1827"/>
      <c r="FR22" s="1827"/>
      <c r="FS22" s="1827"/>
      <c r="FT22" s="1827"/>
      <c r="FU22" s="1827"/>
      <c r="FV22" s="1827"/>
      <c r="FW22" s="1827"/>
      <c r="FX22" s="1827"/>
      <c r="FY22" s="1827"/>
      <c r="FZ22" s="1827"/>
      <c r="GA22" s="1827"/>
      <c r="GB22" s="1827"/>
      <c r="GC22" s="1827"/>
      <c r="GD22" s="1827"/>
      <c r="GE22" s="1827"/>
      <c r="GF22" s="1827"/>
      <c r="GG22" s="1827"/>
      <c r="GH22" s="1827"/>
      <c r="GI22" s="1827"/>
      <c r="GJ22" s="1827"/>
      <c r="GK22" s="1827"/>
      <c r="GL22" s="1827"/>
      <c r="GM22" s="1827"/>
      <c r="GN22" s="1827"/>
      <c r="GO22" s="1827"/>
      <c r="GP22" s="1827"/>
      <c r="GQ22" s="1827"/>
      <c r="GR22" s="1827"/>
      <c r="GS22" s="1827"/>
      <c r="GT22" s="1827"/>
      <c r="GU22" s="1827"/>
      <c r="GV22" s="1827"/>
      <c r="GW22" s="1827"/>
      <c r="GX22" s="1827"/>
      <c r="GY22" s="1827"/>
      <c r="GZ22" s="1827"/>
      <c r="HA22" s="1827"/>
      <c r="HB22" s="1827"/>
      <c r="HC22" s="1827"/>
      <c r="HD22" s="1827"/>
      <c r="HE22" s="1827"/>
      <c r="HF22" s="1827"/>
      <c r="HG22" s="1827"/>
      <c r="HH22" s="1827"/>
      <c r="HI22" s="1827"/>
      <c r="HJ22" s="1827"/>
      <c r="HK22" s="1827"/>
      <c r="HL22" s="1827"/>
      <c r="HM22" s="1827"/>
      <c r="HN22" s="1827"/>
      <c r="HO22" s="1827"/>
      <c r="HP22" s="1827"/>
      <c r="HQ22" s="1827"/>
      <c r="HR22" s="1827"/>
      <c r="HS22" s="1827"/>
      <c r="HT22" s="1827"/>
      <c r="HU22" s="1827"/>
      <c r="HV22" s="1827"/>
      <c r="HW22" s="1827"/>
      <c r="HX22" s="1827"/>
      <c r="HY22" s="1827"/>
      <c r="HZ22" s="1827"/>
      <c r="IA22" s="1827"/>
      <c r="IB22" s="1827"/>
      <c r="IC22" s="1827"/>
      <c r="ID22" s="1827"/>
      <c r="IE22" s="1827"/>
      <c r="IF22" s="1827"/>
      <c r="IG22" s="1827"/>
      <c r="IH22" s="1827"/>
      <c r="II22" s="1827"/>
      <c r="IJ22" s="1827"/>
      <c r="IK22" s="1827"/>
      <c r="IL22" s="1827"/>
      <c r="IM22" s="1827"/>
      <c r="IN22" s="1827"/>
      <c r="IO22" s="1827"/>
      <c r="IP22" s="1827"/>
      <c r="IQ22" s="1827"/>
      <c r="IR22" s="1827"/>
      <c r="IS22" s="1827"/>
      <c r="IT22" s="1827"/>
      <c r="IU22" s="1827"/>
      <c r="IV22" s="1827"/>
    </row>
    <row r="23" spans="1:256">
      <c r="A23" s="1831">
        <f t="shared" si="2"/>
        <v>10</v>
      </c>
      <c r="B23" s="1828" t="s">
        <v>327</v>
      </c>
      <c r="C23" s="1149">
        <f t="shared" si="3"/>
        <v>0</v>
      </c>
      <c r="D23" s="1149">
        <f t="shared" si="5"/>
        <v>0</v>
      </c>
      <c r="E23" s="1828">
        <v>31</v>
      </c>
      <c r="F23" s="964">
        <v>215</v>
      </c>
      <c r="G23" s="1839">
        <f t="shared" si="0"/>
        <v>0.58904109589041098</v>
      </c>
      <c r="H23" s="1149">
        <f t="shared" si="1"/>
        <v>0</v>
      </c>
      <c r="I23" s="1149">
        <f>I22+H23</f>
        <v>0</v>
      </c>
      <c r="J23" s="1827"/>
      <c r="K23" s="1827"/>
      <c r="L23" s="1827"/>
      <c r="M23" s="1827"/>
      <c r="N23" s="1827"/>
      <c r="O23" s="1827"/>
      <c r="P23" s="1827"/>
      <c r="Q23" s="1827"/>
      <c r="R23" s="1827"/>
      <c r="S23" s="1827"/>
      <c r="T23" s="1827"/>
      <c r="U23" s="1827"/>
      <c r="V23" s="1827"/>
      <c r="W23" s="1827"/>
      <c r="X23" s="1827"/>
      <c r="Y23" s="1827"/>
      <c r="Z23" s="1827"/>
      <c r="AA23" s="1827"/>
      <c r="AB23" s="1827"/>
      <c r="AC23" s="1827"/>
      <c r="AD23" s="1827"/>
      <c r="AE23" s="1827"/>
      <c r="AF23" s="1827"/>
      <c r="AG23" s="1827"/>
      <c r="AH23" s="1827"/>
      <c r="AI23" s="1827"/>
      <c r="AJ23" s="1827"/>
      <c r="AK23" s="1827"/>
      <c r="AL23" s="1827"/>
      <c r="AM23" s="1827"/>
      <c r="AN23" s="1827"/>
      <c r="AO23" s="1827"/>
      <c r="AP23" s="1827"/>
      <c r="AQ23" s="1827"/>
      <c r="AR23" s="1827"/>
      <c r="AS23" s="1827"/>
      <c r="AT23" s="1827"/>
      <c r="AU23" s="1827"/>
      <c r="AV23" s="1827"/>
      <c r="AW23" s="1827"/>
      <c r="AX23" s="1827"/>
      <c r="AY23" s="1827"/>
      <c r="AZ23" s="1827"/>
      <c r="BA23" s="1827"/>
      <c r="BB23" s="1827"/>
      <c r="BC23" s="1827"/>
      <c r="BD23" s="1827"/>
      <c r="BE23" s="1827"/>
      <c r="BF23" s="1827"/>
      <c r="BG23" s="1827"/>
      <c r="BH23" s="1827"/>
      <c r="BI23" s="1827"/>
      <c r="BJ23" s="1827"/>
      <c r="BK23" s="1827"/>
      <c r="BL23" s="1827"/>
      <c r="BM23" s="1827"/>
      <c r="BN23" s="1827"/>
      <c r="BO23" s="1827"/>
      <c r="BP23" s="1827"/>
      <c r="BQ23" s="1827"/>
      <c r="BR23" s="1827"/>
      <c r="BS23" s="1827"/>
      <c r="BT23" s="1827"/>
      <c r="BU23" s="1827"/>
      <c r="BV23" s="1827"/>
      <c r="BW23" s="1827"/>
      <c r="BX23" s="1827"/>
      <c r="BY23" s="1827"/>
      <c r="BZ23" s="1827"/>
      <c r="CA23" s="1827"/>
      <c r="CB23" s="1827"/>
      <c r="CC23" s="1827"/>
      <c r="CD23" s="1827"/>
      <c r="CE23" s="1827"/>
      <c r="CF23" s="1827"/>
      <c r="CG23" s="1827"/>
      <c r="CH23" s="1827"/>
      <c r="CI23" s="1827"/>
      <c r="CJ23" s="1827"/>
      <c r="CK23" s="1827"/>
      <c r="CL23" s="1827"/>
      <c r="CM23" s="1827"/>
      <c r="CN23" s="1827"/>
      <c r="CO23" s="1827"/>
      <c r="CP23" s="1827"/>
      <c r="CQ23" s="1827"/>
      <c r="CR23" s="1827"/>
      <c r="CS23" s="1827"/>
      <c r="CT23" s="1827"/>
      <c r="CU23" s="1827"/>
      <c r="CV23" s="1827"/>
      <c r="CW23" s="1827"/>
      <c r="CX23" s="1827"/>
      <c r="CY23" s="1827"/>
      <c r="CZ23" s="1827"/>
      <c r="DA23" s="1827"/>
      <c r="DB23" s="1827"/>
      <c r="DC23" s="1827"/>
      <c r="DD23" s="1827"/>
      <c r="DE23" s="1827"/>
      <c r="DF23" s="1827"/>
      <c r="DG23" s="1827"/>
      <c r="DH23" s="1827"/>
      <c r="DI23" s="1827"/>
      <c r="DJ23" s="1827"/>
      <c r="DK23" s="1827"/>
      <c r="DL23" s="1827"/>
      <c r="DM23" s="1827"/>
      <c r="DN23" s="1827"/>
      <c r="DO23" s="1827"/>
      <c r="DP23" s="1827"/>
      <c r="DQ23" s="1827"/>
      <c r="DR23" s="1827"/>
      <c r="DS23" s="1827"/>
      <c r="DT23" s="1827"/>
      <c r="DU23" s="1827"/>
      <c r="DV23" s="1827"/>
      <c r="DW23" s="1827"/>
      <c r="DX23" s="1827"/>
      <c r="DY23" s="1827"/>
      <c r="DZ23" s="1827"/>
      <c r="EA23" s="1827"/>
      <c r="EB23" s="1827"/>
      <c r="EC23" s="1827"/>
      <c r="ED23" s="1827"/>
      <c r="EE23" s="1827"/>
      <c r="EF23" s="1827"/>
      <c r="EG23" s="1827"/>
      <c r="EH23" s="1827"/>
      <c r="EI23" s="1827"/>
      <c r="EJ23" s="1827"/>
      <c r="EK23" s="1827"/>
      <c r="EL23" s="1827"/>
      <c r="EM23" s="1827"/>
      <c r="EN23" s="1827"/>
      <c r="EO23" s="1827"/>
      <c r="EP23" s="1827"/>
      <c r="EQ23" s="1827"/>
      <c r="ER23" s="1827"/>
      <c r="ES23" s="1827"/>
      <c r="ET23" s="1827"/>
      <c r="EU23" s="1827"/>
      <c r="EV23" s="1827"/>
      <c r="EW23" s="1827"/>
      <c r="EX23" s="1827"/>
      <c r="EY23" s="1827"/>
      <c r="EZ23" s="1827"/>
      <c r="FA23" s="1827"/>
      <c r="FB23" s="1827"/>
      <c r="FC23" s="1827"/>
      <c r="FD23" s="1827"/>
      <c r="FE23" s="1827"/>
      <c r="FF23" s="1827"/>
      <c r="FG23" s="1827"/>
      <c r="FH23" s="1827"/>
      <c r="FI23" s="1827"/>
      <c r="FJ23" s="1827"/>
      <c r="FK23" s="1827"/>
      <c r="FL23" s="1827"/>
      <c r="FM23" s="1827"/>
      <c r="FN23" s="1827"/>
      <c r="FO23" s="1827"/>
      <c r="FP23" s="1827"/>
      <c r="FQ23" s="1827"/>
      <c r="FR23" s="1827"/>
      <c r="FS23" s="1827"/>
      <c r="FT23" s="1827"/>
      <c r="FU23" s="1827"/>
      <c r="FV23" s="1827"/>
      <c r="FW23" s="1827"/>
      <c r="FX23" s="1827"/>
      <c r="FY23" s="1827"/>
      <c r="FZ23" s="1827"/>
      <c r="GA23" s="1827"/>
      <c r="GB23" s="1827"/>
      <c r="GC23" s="1827"/>
      <c r="GD23" s="1827"/>
      <c r="GE23" s="1827"/>
      <c r="GF23" s="1827"/>
      <c r="GG23" s="1827"/>
      <c r="GH23" s="1827"/>
      <c r="GI23" s="1827"/>
      <c r="GJ23" s="1827"/>
      <c r="GK23" s="1827"/>
      <c r="GL23" s="1827"/>
      <c r="GM23" s="1827"/>
      <c r="GN23" s="1827"/>
      <c r="GO23" s="1827"/>
      <c r="GP23" s="1827"/>
      <c r="GQ23" s="1827"/>
      <c r="GR23" s="1827"/>
      <c r="GS23" s="1827"/>
      <c r="GT23" s="1827"/>
      <c r="GU23" s="1827"/>
      <c r="GV23" s="1827"/>
      <c r="GW23" s="1827"/>
      <c r="GX23" s="1827"/>
      <c r="GY23" s="1827"/>
      <c r="GZ23" s="1827"/>
      <c r="HA23" s="1827"/>
      <c r="HB23" s="1827"/>
      <c r="HC23" s="1827"/>
      <c r="HD23" s="1827"/>
      <c r="HE23" s="1827"/>
      <c r="HF23" s="1827"/>
      <c r="HG23" s="1827"/>
      <c r="HH23" s="1827"/>
      <c r="HI23" s="1827"/>
      <c r="HJ23" s="1827"/>
      <c r="HK23" s="1827"/>
      <c r="HL23" s="1827"/>
      <c r="HM23" s="1827"/>
      <c r="HN23" s="1827"/>
      <c r="HO23" s="1827"/>
      <c r="HP23" s="1827"/>
      <c r="HQ23" s="1827"/>
      <c r="HR23" s="1827"/>
      <c r="HS23" s="1827"/>
      <c r="HT23" s="1827"/>
      <c r="HU23" s="1827"/>
      <c r="HV23" s="1827"/>
      <c r="HW23" s="1827"/>
      <c r="HX23" s="1827"/>
      <c r="HY23" s="1827"/>
      <c r="HZ23" s="1827"/>
      <c r="IA23" s="1827"/>
      <c r="IB23" s="1827"/>
      <c r="IC23" s="1827"/>
      <c r="ID23" s="1827"/>
      <c r="IE23" s="1827"/>
      <c r="IF23" s="1827"/>
      <c r="IG23" s="1827"/>
      <c r="IH23" s="1827"/>
      <c r="II23" s="1827"/>
      <c r="IJ23" s="1827"/>
      <c r="IK23" s="1827"/>
      <c r="IL23" s="1827"/>
      <c r="IM23" s="1827"/>
      <c r="IN23" s="1827"/>
      <c r="IO23" s="1827"/>
      <c r="IP23" s="1827"/>
      <c r="IQ23" s="1827"/>
      <c r="IR23" s="1827"/>
      <c r="IS23" s="1827"/>
      <c r="IT23" s="1827"/>
      <c r="IU23" s="1827"/>
      <c r="IV23" s="1827"/>
    </row>
    <row r="24" spans="1:256">
      <c r="A24" s="1831">
        <f t="shared" si="2"/>
        <v>11</v>
      </c>
      <c r="B24" s="1828" t="s">
        <v>48</v>
      </c>
      <c r="C24" s="1149">
        <f t="shared" si="3"/>
        <v>0</v>
      </c>
      <c r="D24" s="1149">
        <f t="shared" si="5"/>
        <v>0</v>
      </c>
      <c r="E24" s="1828">
        <v>30</v>
      </c>
      <c r="F24" s="964">
        <v>185</v>
      </c>
      <c r="G24" s="1839">
        <f t="shared" si="0"/>
        <v>0.50684931506849318</v>
      </c>
      <c r="H24" s="1149">
        <f t="shared" si="1"/>
        <v>0</v>
      </c>
      <c r="I24" s="1149">
        <f>I23+H24</f>
        <v>0</v>
      </c>
      <c r="J24" s="1827"/>
      <c r="K24" s="1827"/>
      <c r="L24" s="1827"/>
      <c r="M24" s="1827"/>
      <c r="N24" s="1827"/>
      <c r="O24" s="1827"/>
      <c r="P24" s="1827"/>
      <c r="Q24" s="1827"/>
      <c r="R24" s="1827"/>
      <c r="S24" s="1827"/>
      <c r="T24" s="1827"/>
      <c r="U24" s="1827"/>
      <c r="V24" s="1827"/>
      <c r="W24" s="1827"/>
      <c r="X24" s="1827"/>
      <c r="Y24" s="1827"/>
      <c r="Z24" s="1827"/>
      <c r="AA24" s="1827"/>
      <c r="AB24" s="1827"/>
      <c r="AC24" s="1827"/>
      <c r="AD24" s="1827"/>
      <c r="AE24" s="1827"/>
      <c r="AF24" s="1827"/>
      <c r="AG24" s="1827"/>
      <c r="AH24" s="1827"/>
      <c r="AI24" s="1827"/>
      <c r="AJ24" s="1827"/>
      <c r="AK24" s="1827"/>
      <c r="AL24" s="1827"/>
      <c r="AM24" s="1827"/>
      <c r="AN24" s="1827"/>
      <c r="AO24" s="1827"/>
      <c r="AP24" s="1827"/>
      <c r="AQ24" s="1827"/>
      <c r="AR24" s="1827"/>
      <c r="AS24" s="1827"/>
      <c r="AT24" s="1827"/>
      <c r="AU24" s="1827"/>
      <c r="AV24" s="1827"/>
      <c r="AW24" s="1827"/>
      <c r="AX24" s="1827"/>
      <c r="AY24" s="1827"/>
      <c r="AZ24" s="1827"/>
      <c r="BA24" s="1827"/>
      <c r="BB24" s="1827"/>
      <c r="BC24" s="1827"/>
      <c r="BD24" s="1827"/>
      <c r="BE24" s="1827"/>
      <c r="BF24" s="1827"/>
      <c r="BG24" s="1827"/>
      <c r="BH24" s="1827"/>
      <c r="BI24" s="1827"/>
      <c r="BJ24" s="1827"/>
      <c r="BK24" s="1827"/>
      <c r="BL24" s="1827"/>
      <c r="BM24" s="1827"/>
      <c r="BN24" s="1827"/>
      <c r="BO24" s="1827"/>
      <c r="BP24" s="1827"/>
      <c r="BQ24" s="1827"/>
      <c r="BR24" s="1827"/>
      <c r="BS24" s="1827"/>
      <c r="BT24" s="1827"/>
      <c r="BU24" s="1827"/>
      <c r="BV24" s="1827"/>
      <c r="BW24" s="1827"/>
      <c r="BX24" s="1827"/>
      <c r="BY24" s="1827"/>
      <c r="BZ24" s="1827"/>
      <c r="CA24" s="1827"/>
      <c r="CB24" s="1827"/>
      <c r="CC24" s="1827"/>
      <c r="CD24" s="1827"/>
      <c r="CE24" s="1827"/>
      <c r="CF24" s="1827"/>
      <c r="CG24" s="1827"/>
      <c r="CH24" s="1827"/>
      <c r="CI24" s="1827"/>
      <c r="CJ24" s="1827"/>
      <c r="CK24" s="1827"/>
      <c r="CL24" s="1827"/>
      <c r="CM24" s="1827"/>
      <c r="CN24" s="1827"/>
      <c r="CO24" s="1827"/>
      <c r="CP24" s="1827"/>
      <c r="CQ24" s="1827"/>
      <c r="CR24" s="1827"/>
      <c r="CS24" s="1827"/>
      <c r="CT24" s="1827"/>
      <c r="CU24" s="1827"/>
      <c r="CV24" s="1827"/>
      <c r="CW24" s="1827"/>
      <c r="CX24" s="1827"/>
      <c r="CY24" s="1827"/>
      <c r="CZ24" s="1827"/>
      <c r="DA24" s="1827"/>
      <c r="DB24" s="1827"/>
      <c r="DC24" s="1827"/>
      <c r="DD24" s="1827"/>
      <c r="DE24" s="1827"/>
      <c r="DF24" s="1827"/>
      <c r="DG24" s="1827"/>
      <c r="DH24" s="1827"/>
      <c r="DI24" s="1827"/>
      <c r="DJ24" s="1827"/>
      <c r="DK24" s="1827"/>
      <c r="DL24" s="1827"/>
      <c r="DM24" s="1827"/>
      <c r="DN24" s="1827"/>
      <c r="DO24" s="1827"/>
      <c r="DP24" s="1827"/>
      <c r="DQ24" s="1827"/>
      <c r="DR24" s="1827"/>
      <c r="DS24" s="1827"/>
      <c r="DT24" s="1827"/>
      <c r="DU24" s="1827"/>
      <c r="DV24" s="1827"/>
      <c r="DW24" s="1827"/>
      <c r="DX24" s="1827"/>
      <c r="DY24" s="1827"/>
      <c r="DZ24" s="1827"/>
      <c r="EA24" s="1827"/>
      <c r="EB24" s="1827"/>
      <c r="EC24" s="1827"/>
      <c r="ED24" s="1827"/>
      <c r="EE24" s="1827"/>
      <c r="EF24" s="1827"/>
      <c r="EG24" s="1827"/>
      <c r="EH24" s="1827"/>
      <c r="EI24" s="1827"/>
      <c r="EJ24" s="1827"/>
      <c r="EK24" s="1827"/>
      <c r="EL24" s="1827"/>
      <c r="EM24" s="1827"/>
      <c r="EN24" s="1827"/>
      <c r="EO24" s="1827"/>
      <c r="EP24" s="1827"/>
      <c r="EQ24" s="1827"/>
      <c r="ER24" s="1827"/>
      <c r="ES24" s="1827"/>
      <c r="ET24" s="1827"/>
      <c r="EU24" s="1827"/>
      <c r="EV24" s="1827"/>
      <c r="EW24" s="1827"/>
      <c r="EX24" s="1827"/>
      <c r="EY24" s="1827"/>
      <c r="EZ24" s="1827"/>
      <c r="FA24" s="1827"/>
      <c r="FB24" s="1827"/>
      <c r="FC24" s="1827"/>
      <c r="FD24" s="1827"/>
      <c r="FE24" s="1827"/>
      <c r="FF24" s="1827"/>
      <c r="FG24" s="1827"/>
      <c r="FH24" s="1827"/>
      <c r="FI24" s="1827"/>
      <c r="FJ24" s="1827"/>
      <c r="FK24" s="1827"/>
      <c r="FL24" s="1827"/>
      <c r="FM24" s="1827"/>
      <c r="FN24" s="1827"/>
      <c r="FO24" s="1827"/>
      <c r="FP24" s="1827"/>
      <c r="FQ24" s="1827"/>
      <c r="FR24" s="1827"/>
      <c r="FS24" s="1827"/>
      <c r="FT24" s="1827"/>
      <c r="FU24" s="1827"/>
      <c r="FV24" s="1827"/>
      <c r="FW24" s="1827"/>
      <c r="FX24" s="1827"/>
      <c r="FY24" s="1827"/>
      <c r="FZ24" s="1827"/>
      <c r="GA24" s="1827"/>
      <c r="GB24" s="1827"/>
      <c r="GC24" s="1827"/>
      <c r="GD24" s="1827"/>
      <c r="GE24" s="1827"/>
      <c r="GF24" s="1827"/>
      <c r="GG24" s="1827"/>
      <c r="GH24" s="1827"/>
      <c r="GI24" s="1827"/>
      <c r="GJ24" s="1827"/>
      <c r="GK24" s="1827"/>
      <c r="GL24" s="1827"/>
      <c r="GM24" s="1827"/>
      <c r="GN24" s="1827"/>
      <c r="GO24" s="1827"/>
      <c r="GP24" s="1827"/>
      <c r="GQ24" s="1827"/>
      <c r="GR24" s="1827"/>
      <c r="GS24" s="1827"/>
      <c r="GT24" s="1827"/>
      <c r="GU24" s="1827"/>
      <c r="GV24" s="1827"/>
      <c r="GW24" s="1827"/>
      <c r="GX24" s="1827"/>
      <c r="GY24" s="1827"/>
      <c r="GZ24" s="1827"/>
      <c r="HA24" s="1827"/>
      <c r="HB24" s="1827"/>
      <c r="HC24" s="1827"/>
      <c r="HD24" s="1827"/>
      <c r="HE24" s="1827"/>
      <c r="HF24" s="1827"/>
      <c r="HG24" s="1827"/>
      <c r="HH24" s="1827"/>
      <c r="HI24" s="1827"/>
      <c r="HJ24" s="1827"/>
      <c r="HK24" s="1827"/>
      <c r="HL24" s="1827"/>
      <c r="HM24" s="1827"/>
      <c r="HN24" s="1827"/>
      <c r="HO24" s="1827"/>
      <c r="HP24" s="1827"/>
      <c r="HQ24" s="1827"/>
      <c r="HR24" s="1827"/>
      <c r="HS24" s="1827"/>
      <c r="HT24" s="1827"/>
      <c r="HU24" s="1827"/>
      <c r="HV24" s="1827"/>
      <c r="HW24" s="1827"/>
      <c r="HX24" s="1827"/>
      <c r="HY24" s="1827"/>
      <c r="HZ24" s="1827"/>
      <c r="IA24" s="1827"/>
      <c r="IB24" s="1827"/>
      <c r="IC24" s="1827"/>
      <c r="ID24" s="1827"/>
      <c r="IE24" s="1827"/>
      <c r="IF24" s="1827"/>
      <c r="IG24" s="1827"/>
      <c r="IH24" s="1827"/>
      <c r="II24" s="1827"/>
      <c r="IJ24" s="1827"/>
      <c r="IK24" s="1827"/>
      <c r="IL24" s="1827"/>
      <c r="IM24" s="1827"/>
      <c r="IN24" s="1827"/>
      <c r="IO24" s="1827"/>
      <c r="IP24" s="1827"/>
      <c r="IQ24" s="1827"/>
      <c r="IR24" s="1827"/>
      <c r="IS24" s="1827"/>
      <c r="IT24" s="1827"/>
      <c r="IU24" s="1827"/>
      <c r="IV24" s="1827"/>
    </row>
    <row r="25" spans="1:256">
      <c r="A25" s="1831">
        <f t="shared" si="2"/>
        <v>12</v>
      </c>
      <c r="B25" s="1828" t="s">
        <v>328</v>
      </c>
      <c r="C25" s="1149">
        <f t="shared" si="3"/>
        <v>0</v>
      </c>
      <c r="D25" s="1149">
        <f t="shared" si="5"/>
        <v>0</v>
      </c>
      <c r="E25" s="1828">
        <v>31</v>
      </c>
      <c r="F25" s="964">
        <v>154</v>
      </c>
      <c r="G25" s="1839">
        <f t="shared" si="0"/>
        <v>0.42191780821917807</v>
      </c>
      <c r="H25" s="1149">
        <f t="shared" si="1"/>
        <v>0</v>
      </c>
      <c r="I25" s="1149">
        <f t="shared" si="4"/>
        <v>0</v>
      </c>
      <c r="J25" s="1827"/>
      <c r="K25" s="1827"/>
      <c r="L25" s="1827"/>
      <c r="M25" s="1827"/>
      <c r="N25" s="1827"/>
      <c r="O25" s="1827"/>
      <c r="P25" s="1827"/>
      <c r="Q25" s="1827"/>
      <c r="R25" s="1827"/>
      <c r="S25" s="1827"/>
      <c r="T25" s="1827"/>
      <c r="U25" s="1827"/>
      <c r="V25" s="1827"/>
      <c r="W25" s="1827"/>
      <c r="X25" s="1827"/>
      <c r="Y25" s="1827"/>
      <c r="Z25" s="1827"/>
      <c r="AA25" s="1827"/>
      <c r="AB25" s="1827"/>
      <c r="AC25" s="1827"/>
      <c r="AD25" s="1827"/>
      <c r="AE25" s="1827"/>
      <c r="AF25" s="1827"/>
      <c r="AG25" s="1827"/>
      <c r="AH25" s="1827"/>
      <c r="AI25" s="1827"/>
      <c r="AJ25" s="1827"/>
      <c r="AK25" s="1827"/>
      <c r="AL25" s="1827"/>
      <c r="AM25" s="1827"/>
      <c r="AN25" s="1827"/>
      <c r="AO25" s="1827"/>
      <c r="AP25" s="1827"/>
      <c r="AQ25" s="1827"/>
      <c r="AR25" s="1827"/>
      <c r="AS25" s="1827"/>
      <c r="AT25" s="1827"/>
      <c r="AU25" s="1827"/>
      <c r="AV25" s="1827"/>
      <c r="AW25" s="1827"/>
      <c r="AX25" s="1827"/>
      <c r="AY25" s="1827"/>
      <c r="AZ25" s="1827"/>
      <c r="BA25" s="1827"/>
      <c r="BB25" s="1827"/>
      <c r="BC25" s="1827"/>
      <c r="BD25" s="1827"/>
      <c r="BE25" s="1827"/>
      <c r="BF25" s="1827"/>
      <c r="BG25" s="1827"/>
      <c r="BH25" s="1827"/>
      <c r="BI25" s="1827"/>
      <c r="BJ25" s="1827"/>
      <c r="BK25" s="1827"/>
      <c r="BL25" s="1827"/>
      <c r="BM25" s="1827"/>
      <c r="BN25" s="1827"/>
      <c r="BO25" s="1827"/>
      <c r="BP25" s="1827"/>
      <c r="BQ25" s="1827"/>
      <c r="BR25" s="1827"/>
      <c r="BS25" s="1827"/>
      <c r="BT25" s="1827"/>
      <c r="BU25" s="1827"/>
      <c r="BV25" s="1827"/>
      <c r="BW25" s="1827"/>
      <c r="BX25" s="1827"/>
      <c r="BY25" s="1827"/>
      <c r="BZ25" s="1827"/>
      <c r="CA25" s="1827"/>
      <c r="CB25" s="1827"/>
      <c r="CC25" s="1827"/>
      <c r="CD25" s="1827"/>
      <c r="CE25" s="1827"/>
      <c r="CF25" s="1827"/>
      <c r="CG25" s="1827"/>
      <c r="CH25" s="1827"/>
      <c r="CI25" s="1827"/>
      <c r="CJ25" s="1827"/>
      <c r="CK25" s="1827"/>
      <c r="CL25" s="1827"/>
      <c r="CM25" s="1827"/>
      <c r="CN25" s="1827"/>
      <c r="CO25" s="1827"/>
      <c r="CP25" s="1827"/>
      <c r="CQ25" s="1827"/>
      <c r="CR25" s="1827"/>
      <c r="CS25" s="1827"/>
      <c r="CT25" s="1827"/>
      <c r="CU25" s="1827"/>
      <c r="CV25" s="1827"/>
      <c r="CW25" s="1827"/>
      <c r="CX25" s="1827"/>
      <c r="CY25" s="1827"/>
      <c r="CZ25" s="1827"/>
      <c r="DA25" s="1827"/>
      <c r="DB25" s="1827"/>
      <c r="DC25" s="1827"/>
      <c r="DD25" s="1827"/>
      <c r="DE25" s="1827"/>
      <c r="DF25" s="1827"/>
      <c r="DG25" s="1827"/>
      <c r="DH25" s="1827"/>
      <c r="DI25" s="1827"/>
      <c r="DJ25" s="1827"/>
      <c r="DK25" s="1827"/>
      <c r="DL25" s="1827"/>
      <c r="DM25" s="1827"/>
      <c r="DN25" s="1827"/>
      <c r="DO25" s="1827"/>
      <c r="DP25" s="1827"/>
      <c r="DQ25" s="1827"/>
      <c r="DR25" s="1827"/>
      <c r="DS25" s="1827"/>
      <c r="DT25" s="1827"/>
      <c r="DU25" s="1827"/>
      <c r="DV25" s="1827"/>
      <c r="DW25" s="1827"/>
      <c r="DX25" s="1827"/>
      <c r="DY25" s="1827"/>
      <c r="DZ25" s="1827"/>
      <c r="EA25" s="1827"/>
      <c r="EB25" s="1827"/>
      <c r="EC25" s="1827"/>
      <c r="ED25" s="1827"/>
      <c r="EE25" s="1827"/>
      <c r="EF25" s="1827"/>
      <c r="EG25" s="1827"/>
      <c r="EH25" s="1827"/>
      <c r="EI25" s="1827"/>
      <c r="EJ25" s="1827"/>
      <c r="EK25" s="1827"/>
      <c r="EL25" s="1827"/>
      <c r="EM25" s="1827"/>
      <c r="EN25" s="1827"/>
      <c r="EO25" s="1827"/>
      <c r="EP25" s="1827"/>
      <c r="EQ25" s="1827"/>
      <c r="ER25" s="1827"/>
      <c r="ES25" s="1827"/>
      <c r="ET25" s="1827"/>
      <c r="EU25" s="1827"/>
      <c r="EV25" s="1827"/>
      <c r="EW25" s="1827"/>
      <c r="EX25" s="1827"/>
      <c r="EY25" s="1827"/>
      <c r="EZ25" s="1827"/>
      <c r="FA25" s="1827"/>
      <c r="FB25" s="1827"/>
      <c r="FC25" s="1827"/>
      <c r="FD25" s="1827"/>
      <c r="FE25" s="1827"/>
      <c r="FF25" s="1827"/>
      <c r="FG25" s="1827"/>
      <c r="FH25" s="1827"/>
      <c r="FI25" s="1827"/>
      <c r="FJ25" s="1827"/>
      <c r="FK25" s="1827"/>
      <c r="FL25" s="1827"/>
      <c r="FM25" s="1827"/>
      <c r="FN25" s="1827"/>
      <c r="FO25" s="1827"/>
      <c r="FP25" s="1827"/>
      <c r="FQ25" s="1827"/>
      <c r="FR25" s="1827"/>
      <c r="FS25" s="1827"/>
      <c r="FT25" s="1827"/>
      <c r="FU25" s="1827"/>
      <c r="FV25" s="1827"/>
      <c r="FW25" s="1827"/>
      <c r="FX25" s="1827"/>
      <c r="FY25" s="1827"/>
      <c r="FZ25" s="1827"/>
      <c r="GA25" s="1827"/>
      <c r="GB25" s="1827"/>
      <c r="GC25" s="1827"/>
      <c r="GD25" s="1827"/>
      <c r="GE25" s="1827"/>
      <c r="GF25" s="1827"/>
      <c r="GG25" s="1827"/>
      <c r="GH25" s="1827"/>
      <c r="GI25" s="1827"/>
      <c r="GJ25" s="1827"/>
      <c r="GK25" s="1827"/>
      <c r="GL25" s="1827"/>
      <c r="GM25" s="1827"/>
      <c r="GN25" s="1827"/>
      <c r="GO25" s="1827"/>
      <c r="GP25" s="1827"/>
      <c r="GQ25" s="1827"/>
      <c r="GR25" s="1827"/>
      <c r="GS25" s="1827"/>
      <c r="GT25" s="1827"/>
      <c r="GU25" s="1827"/>
      <c r="GV25" s="1827"/>
      <c r="GW25" s="1827"/>
      <c r="GX25" s="1827"/>
      <c r="GY25" s="1827"/>
      <c r="GZ25" s="1827"/>
      <c r="HA25" s="1827"/>
      <c r="HB25" s="1827"/>
      <c r="HC25" s="1827"/>
      <c r="HD25" s="1827"/>
      <c r="HE25" s="1827"/>
      <c r="HF25" s="1827"/>
      <c r="HG25" s="1827"/>
      <c r="HH25" s="1827"/>
      <c r="HI25" s="1827"/>
      <c r="HJ25" s="1827"/>
      <c r="HK25" s="1827"/>
      <c r="HL25" s="1827"/>
      <c r="HM25" s="1827"/>
      <c r="HN25" s="1827"/>
      <c r="HO25" s="1827"/>
      <c r="HP25" s="1827"/>
      <c r="HQ25" s="1827"/>
      <c r="HR25" s="1827"/>
      <c r="HS25" s="1827"/>
      <c r="HT25" s="1827"/>
      <c r="HU25" s="1827"/>
      <c r="HV25" s="1827"/>
      <c r="HW25" s="1827"/>
      <c r="HX25" s="1827"/>
      <c r="HY25" s="1827"/>
      <c r="HZ25" s="1827"/>
      <c r="IA25" s="1827"/>
      <c r="IB25" s="1827"/>
      <c r="IC25" s="1827"/>
      <c r="ID25" s="1827"/>
      <c r="IE25" s="1827"/>
      <c r="IF25" s="1827"/>
      <c r="IG25" s="1827"/>
      <c r="IH25" s="1827"/>
      <c r="II25" s="1827"/>
      <c r="IJ25" s="1827"/>
      <c r="IK25" s="1827"/>
      <c r="IL25" s="1827"/>
      <c r="IM25" s="1827"/>
      <c r="IN25" s="1827"/>
      <c r="IO25" s="1827"/>
      <c r="IP25" s="1827"/>
      <c r="IQ25" s="1827"/>
      <c r="IR25" s="1827"/>
      <c r="IS25" s="1827"/>
      <c r="IT25" s="1827"/>
      <c r="IU25" s="1827"/>
      <c r="IV25" s="1827"/>
    </row>
    <row r="26" spans="1:256">
      <c r="A26" s="1831">
        <f t="shared" si="2"/>
        <v>13</v>
      </c>
      <c r="B26" s="1828" t="s">
        <v>329</v>
      </c>
      <c r="C26" s="1149">
        <f t="shared" si="3"/>
        <v>0</v>
      </c>
      <c r="D26" s="1149">
        <f t="shared" si="5"/>
        <v>0</v>
      </c>
      <c r="E26" s="1828">
        <v>31</v>
      </c>
      <c r="F26" s="964">
        <v>123</v>
      </c>
      <c r="G26" s="1839">
        <f t="shared" si="0"/>
        <v>0.33698630136986302</v>
      </c>
      <c r="H26" s="1149">
        <f t="shared" si="1"/>
        <v>0</v>
      </c>
      <c r="I26" s="1149">
        <f t="shared" si="4"/>
        <v>0</v>
      </c>
      <c r="J26" s="1827"/>
      <c r="K26" s="1827"/>
      <c r="L26" s="1827"/>
      <c r="M26" s="1827"/>
      <c r="N26" s="1827"/>
      <c r="O26" s="1827"/>
      <c r="P26" s="1827"/>
      <c r="Q26" s="1827"/>
      <c r="R26" s="1827"/>
      <c r="S26" s="1827"/>
      <c r="T26" s="1827"/>
      <c r="U26" s="1827"/>
      <c r="V26" s="1827"/>
      <c r="W26" s="1827"/>
      <c r="X26" s="1827"/>
      <c r="Y26" s="1827"/>
      <c r="Z26" s="1827"/>
      <c r="AA26" s="1827"/>
      <c r="AB26" s="1827"/>
      <c r="AC26" s="1827"/>
      <c r="AD26" s="1827"/>
      <c r="AE26" s="1827"/>
      <c r="AF26" s="1827"/>
      <c r="AG26" s="1827"/>
      <c r="AH26" s="1827"/>
      <c r="AI26" s="1827"/>
      <c r="AJ26" s="1827"/>
      <c r="AK26" s="1827"/>
      <c r="AL26" s="1827"/>
      <c r="AM26" s="1827"/>
      <c r="AN26" s="1827"/>
      <c r="AO26" s="1827"/>
      <c r="AP26" s="1827"/>
      <c r="AQ26" s="1827"/>
      <c r="AR26" s="1827"/>
      <c r="AS26" s="1827"/>
      <c r="AT26" s="1827"/>
      <c r="AU26" s="1827"/>
      <c r="AV26" s="1827"/>
      <c r="AW26" s="1827"/>
      <c r="AX26" s="1827"/>
      <c r="AY26" s="1827"/>
      <c r="AZ26" s="1827"/>
      <c r="BA26" s="1827"/>
      <c r="BB26" s="1827"/>
      <c r="BC26" s="1827"/>
      <c r="BD26" s="1827"/>
      <c r="BE26" s="1827"/>
      <c r="BF26" s="1827"/>
      <c r="BG26" s="1827"/>
      <c r="BH26" s="1827"/>
      <c r="BI26" s="1827"/>
      <c r="BJ26" s="1827"/>
      <c r="BK26" s="1827"/>
      <c r="BL26" s="1827"/>
      <c r="BM26" s="1827"/>
      <c r="BN26" s="1827"/>
      <c r="BO26" s="1827"/>
      <c r="BP26" s="1827"/>
      <c r="BQ26" s="1827"/>
      <c r="BR26" s="1827"/>
      <c r="BS26" s="1827"/>
      <c r="BT26" s="1827"/>
      <c r="BU26" s="1827"/>
      <c r="BV26" s="1827"/>
      <c r="BW26" s="1827"/>
      <c r="BX26" s="1827"/>
      <c r="BY26" s="1827"/>
      <c r="BZ26" s="1827"/>
      <c r="CA26" s="1827"/>
      <c r="CB26" s="1827"/>
      <c r="CC26" s="1827"/>
      <c r="CD26" s="1827"/>
      <c r="CE26" s="1827"/>
      <c r="CF26" s="1827"/>
      <c r="CG26" s="1827"/>
      <c r="CH26" s="1827"/>
      <c r="CI26" s="1827"/>
      <c r="CJ26" s="1827"/>
      <c r="CK26" s="1827"/>
      <c r="CL26" s="1827"/>
      <c r="CM26" s="1827"/>
      <c r="CN26" s="1827"/>
      <c r="CO26" s="1827"/>
      <c r="CP26" s="1827"/>
      <c r="CQ26" s="1827"/>
      <c r="CR26" s="1827"/>
      <c r="CS26" s="1827"/>
      <c r="CT26" s="1827"/>
      <c r="CU26" s="1827"/>
      <c r="CV26" s="1827"/>
      <c r="CW26" s="1827"/>
      <c r="CX26" s="1827"/>
      <c r="CY26" s="1827"/>
      <c r="CZ26" s="1827"/>
      <c r="DA26" s="1827"/>
      <c r="DB26" s="1827"/>
      <c r="DC26" s="1827"/>
      <c r="DD26" s="1827"/>
      <c r="DE26" s="1827"/>
      <c r="DF26" s="1827"/>
      <c r="DG26" s="1827"/>
      <c r="DH26" s="1827"/>
      <c r="DI26" s="1827"/>
      <c r="DJ26" s="1827"/>
      <c r="DK26" s="1827"/>
      <c r="DL26" s="1827"/>
      <c r="DM26" s="1827"/>
      <c r="DN26" s="1827"/>
      <c r="DO26" s="1827"/>
      <c r="DP26" s="1827"/>
      <c r="DQ26" s="1827"/>
      <c r="DR26" s="1827"/>
      <c r="DS26" s="1827"/>
      <c r="DT26" s="1827"/>
      <c r="DU26" s="1827"/>
      <c r="DV26" s="1827"/>
      <c r="DW26" s="1827"/>
      <c r="DX26" s="1827"/>
      <c r="DY26" s="1827"/>
      <c r="DZ26" s="1827"/>
      <c r="EA26" s="1827"/>
      <c r="EB26" s="1827"/>
      <c r="EC26" s="1827"/>
      <c r="ED26" s="1827"/>
      <c r="EE26" s="1827"/>
      <c r="EF26" s="1827"/>
      <c r="EG26" s="1827"/>
      <c r="EH26" s="1827"/>
      <c r="EI26" s="1827"/>
      <c r="EJ26" s="1827"/>
      <c r="EK26" s="1827"/>
      <c r="EL26" s="1827"/>
      <c r="EM26" s="1827"/>
      <c r="EN26" s="1827"/>
      <c r="EO26" s="1827"/>
      <c r="EP26" s="1827"/>
      <c r="EQ26" s="1827"/>
      <c r="ER26" s="1827"/>
      <c r="ES26" s="1827"/>
      <c r="ET26" s="1827"/>
      <c r="EU26" s="1827"/>
      <c r="EV26" s="1827"/>
      <c r="EW26" s="1827"/>
      <c r="EX26" s="1827"/>
      <c r="EY26" s="1827"/>
      <c r="EZ26" s="1827"/>
      <c r="FA26" s="1827"/>
      <c r="FB26" s="1827"/>
      <c r="FC26" s="1827"/>
      <c r="FD26" s="1827"/>
      <c r="FE26" s="1827"/>
      <c r="FF26" s="1827"/>
      <c r="FG26" s="1827"/>
      <c r="FH26" s="1827"/>
      <c r="FI26" s="1827"/>
      <c r="FJ26" s="1827"/>
      <c r="FK26" s="1827"/>
      <c r="FL26" s="1827"/>
      <c r="FM26" s="1827"/>
      <c r="FN26" s="1827"/>
      <c r="FO26" s="1827"/>
      <c r="FP26" s="1827"/>
      <c r="FQ26" s="1827"/>
      <c r="FR26" s="1827"/>
      <c r="FS26" s="1827"/>
      <c r="FT26" s="1827"/>
      <c r="FU26" s="1827"/>
      <c r="FV26" s="1827"/>
      <c r="FW26" s="1827"/>
      <c r="FX26" s="1827"/>
      <c r="FY26" s="1827"/>
      <c r="FZ26" s="1827"/>
      <c r="GA26" s="1827"/>
      <c r="GB26" s="1827"/>
      <c r="GC26" s="1827"/>
      <c r="GD26" s="1827"/>
      <c r="GE26" s="1827"/>
      <c r="GF26" s="1827"/>
      <c r="GG26" s="1827"/>
      <c r="GH26" s="1827"/>
      <c r="GI26" s="1827"/>
      <c r="GJ26" s="1827"/>
      <c r="GK26" s="1827"/>
      <c r="GL26" s="1827"/>
      <c r="GM26" s="1827"/>
      <c r="GN26" s="1827"/>
      <c r="GO26" s="1827"/>
      <c r="GP26" s="1827"/>
      <c r="GQ26" s="1827"/>
      <c r="GR26" s="1827"/>
      <c r="GS26" s="1827"/>
      <c r="GT26" s="1827"/>
      <c r="GU26" s="1827"/>
      <c r="GV26" s="1827"/>
      <c r="GW26" s="1827"/>
      <c r="GX26" s="1827"/>
      <c r="GY26" s="1827"/>
      <c r="GZ26" s="1827"/>
      <c r="HA26" s="1827"/>
      <c r="HB26" s="1827"/>
      <c r="HC26" s="1827"/>
      <c r="HD26" s="1827"/>
      <c r="HE26" s="1827"/>
      <c r="HF26" s="1827"/>
      <c r="HG26" s="1827"/>
      <c r="HH26" s="1827"/>
      <c r="HI26" s="1827"/>
      <c r="HJ26" s="1827"/>
      <c r="HK26" s="1827"/>
      <c r="HL26" s="1827"/>
      <c r="HM26" s="1827"/>
      <c r="HN26" s="1827"/>
      <c r="HO26" s="1827"/>
      <c r="HP26" s="1827"/>
      <c r="HQ26" s="1827"/>
      <c r="HR26" s="1827"/>
      <c r="HS26" s="1827"/>
      <c r="HT26" s="1827"/>
      <c r="HU26" s="1827"/>
      <c r="HV26" s="1827"/>
      <c r="HW26" s="1827"/>
      <c r="HX26" s="1827"/>
      <c r="HY26" s="1827"/>
      <c r="HZ26" s="1827"/>
      <c r="IA26" s="1827"/>
      <c r="IB26" s="1827"/>
      <c r="IC26" s="1827"/>
      <c r="ID26" s="1827"/>
      <c r="IE26" s="1827"/>
      <c r="IF26" s="1827"/>
      <c r="IG26" s="1827"/>
      <c r="IH26" s="1827"/>
      <c r="II26" s="1827"/>
      <c r="IJ26" s="1827"/>
      <c r="IK26" s="1827"/>
      <c r="IL26" s="1827"/>
      <c r="IM26" s="1827"/>
      <c r="IN26" s="1827"/>
      <c r="IO26" s="1827"/>
      <c r="IP26" s="1827"/>
      <c r="IQ26" s="1827"/>
      <c r="IR26" s="1827"/>
      <c r="IS26" s="1827"/>
      <c r="IT26" s="1827"/>
      <c r="IU26" s="1827"/>
      <c r="IV26" s="1827"/>
    </row>
    <row r="27" spans="1:256">
      <c r="A27" s="1831">
        <f t="shared" si="2"/>
        <v>14</v>
      </c>
      <c r="B27" s="1828" t="s">
        <v>331</v>
      </c>
      <c r="C27" s="1149">
        <f t="shared" si="3"/>
        <v>0</v>
      </c>
      <c r="D27" s="1149">
        <f t="shared" si="5"/>
        <v>0</v>
      </c>
      <c r="E27" s="1828">
        <v>30</v>
      </c>
      <c r="F27" s="964">
        <v>93</v>
      </c>
      <c r="G27" s="1839">
        <f t="shared" si="0"/>
        <v>0.25479452054794521</v>
      </c>
      <c r="H27" s="1149">
        <f t="shared" si="1"/>
        <v>0</v>
      </c>
      <c r="I27" s="1149">
        <f t="shared" si="4"/>
        <v>0</v>
      </c>
      <c r="J27" s="1827"/>
      <c r="K27" s="1827"/>
      <c r="L27" s="1827"/>
      <c r="M27" s="1827"/>
      <c r="N27" s="1827"/>
      <c r="O27" s="1827"/>
      <c r="P27" s="1827"/>
      <c r="Q27" s="1827"/>
      <c r="R27" s="1827"/>
      <c r="S27" s="1827"/>
      <c r="T27" s="1827"/>
      <c r="U27" s="1827"/>
      <c r="V27" s="1827"/>
      <c r="W27" s="1827"/>
      <c r="X27" s="1827"/>
      <c r="Y27" s="1827"/>
      <c r="Z27" s="1827"/>
      <c r="AA27" s="1827"/>
      <c r="AB27" s="1827"/>
      <c r="AC27" s="1827"/>
      <c r="AD27" s="1827"/>
      <c r="AE27" s="1827"/>
      <c r="AF27" s="1827"/>
      <c r="AG27" s="1827"/>
      <c r="AH27" s="1827"/>
      <c r="AI27" s="1827"/>
      <c r="AJ27" s="1827"/>
      <c r="AK27" s="1827"/>
      <c r="AL27" s="1827"/>
      <c r="AM27" s="1827"/>
      <c r="AN27" s="1827"/>
      <c r="AO27" s="1827"/>
      <c r="AP27" s="1827"/>
      <c r="AQ27" s="1827"/>
      <c r="AR27" s="1827"/>
      <c r="AS27" s="1827"/>
      <c r="AT27" s="1827"/>
      <c r="AU27" s="1827"/>
      <c r="AV27" s="1827"/>
      <c r="AW27" s="1827"/>
      <c r="AX27" s="1827"/>
      <c r="AY27" s="1827"/>
      <c r="AZ27" s="1827"/>
      <c r="BA27" s="1827"/>
      <c r="BB27" s="1827"/>
      <c r="BC27" s="1827"/>
      <c r="BD27" s="1827"/>
      <c r="BE27" s="1827"/>
      <c r="BF27" s="1827"/>
      <c r="BG27" s="1827"/>
      <c r="BH27" s="1827"/>
      <c r="BI27" s="1827"/>
      <c r="BJ27" s="1827"/>
      <c r="BK27" s="1827"/>
      <c r="BL27" s="1827"/>
      <c r="BM27" s="1827"/>
      <c r="BN27" s="1827"/>
      <c r="BO27" s="1827"/>
      <c r="BP27" s="1827"/>
      <c r="BQ27" s="1827"/>
      <c r="BR27" s="1827"/>
      <c r="BS27" s="1827"/>
      <c r="BT27" s="1827"/>
      <c r="BU27" s="1827"/>
      <c r="BV27" s="1827"/>
      <c r="BW27" s="1827"/>
      <c r="BX27" s="1827"/>
      <c r="BY27" s="1827"/>
      <c r="BZ27" s="1827"/>
      <c r="CA27" s="1827"/>
      <c r="CB27" s="1827"/>
      <c r="CC27" s="1827"/>
      <c r="CD27" s="1827"/>
      <c r="CE27" s="1827"/>
      <c r="CF27" s="1827"/>
      <c r="CG27" s="1827"/>
      <c r="CH27" s="1827"/>
      <c r="CI27" s="1827"/>
      <c r="CJ27" s="1827"/>
      <c r="CK27" s="1827"/>
      <c r="CL27" s="1827"/>
      <c r="CM27" s="1827"/>
      <c r="CN27" s="1827"/>
      <c r="CO27" s="1827"/>
      <c r="CP27" s="1827"/>
      <c r="CQ27" s="1827"/>
      <c r="CR27" s="1827"/>
      <c r="CS27" s="1827"/>
      <c r="CT27" s="1827"/>
      <c r="CU27" s="1827"/>
      <c r="CV27" s="1827"/>
      <c r="CW27" s="1827"/>
      <c r="CX27" s="1827"/>
      <c r="CY27" s="1827"/>
      <c r="CZ27" s="1827"/>
      <c r="DA27" s="1827"/>
      <c r="DB27" s="1827"/>
      <c r="DC27" s="1827"/>
      <c r="DD27" s="1827"/>
      <c r="DE27" s="1827"/>
      <c r="DF27" s="1827"/>
      <c r="DG27" s="1827"/>
      <c r="DH27" s="1827"/>
      <c r="DI27" s="1827"/>
      <c r="DJ27" s="1827"/>
      <c r="DK27" s="1827"/>
      <c r="DL27" s="1827"/>
      <c r="DM27" s="1827"/>
      <c r="DN27" s="1827"/>
      <c r="DO27" s="1827"/>
      <c r="DP27" s="1827"/>
      <c r="DQ27" s="1827"/>
      <c r="DR27" s="1827"/>
      <c r="DS27" s="1827"/>
      <c r="DT27" s="1827"/>
      <c r="DU27" s="1827"/>
      <c r="DV27" s="1827"/>
      <c r="DW27" s="1827"/>
      <c r="DX27" s="1827"/>
      <c r="DY27" s="1827"/>
      <c r="DZ27" s="1827"/>
      <c r="EA27" s="1827"/>
      <c r="EB27" s="1827"/>
      <c r="EC27" s="1827"/>
      <c r="ED27" s="1827"/>
      <c r="EE27" s="1827"/>
      <c r="EF27" s="1827"/>
      <c r="EG27" s="1827"/>
      <c r="EH27" s="1827"/>
      <c r="EI27" s="1827"/>
      <c r="EJ27" s="1827"/>
      <c r="EK27" s="1827"/>
      <c r="EL27" s="1827"/>
      <c r="EM27" s="1827"/>
      <c r="EN27" s="1827"/>
      <c r="EO27" s="1827"/>
      <c r="EP27" s="1827"/>
      <c r="EQ27" s="1827"/>
      <c r="ER27" s="1827"/>
      <c r="ES27" s="1827"/>
      <c r="ET27" s="1827"/>
      <c r="EU27" s="1827"/>
      <c r="EV27" s="1827"/>
      <c r="EW27" s="1827"/>
      <c r="EX27" s="1827"/>
      <c r="EY27" s="1827"/>
      <c r="EZ27" s="1827"/>
      <c r="FA27" s="1827"/>
      <c r="FB27" s="1827"/>
      <c r="FC27" s="1827"/>
      <c r="FD27" s="1827"/>
      <c r="FE27" s="1827"/>
      <c r="FF27" s="1827"/>
      <c r="FG27" s="1827"/>
      <c r="FH27" s="1827"/>
      <c r="FI27" s="1827"/>
      <c r="FJ27" s="1827"/>
      <c r="FK27" s="1827"/>
      <c r="FL27" s="1827"/>
      <c r="FM27" s="1827"/>
      <c r="FN27" s="1827"/>
      <c r="FO27" s="1827"/>
      <c r="FP27" s="1827"/>
      <c r="FQ27" s="1827"/>
      <c r="FR27" s="1827"/>
      <c r="FS27" s="1827"/>
      <c r="FT27" s="1827"/>
      <c r="FU27" s="1827"/>
      <c r="FV27" s="1827"/>
      <c r="FW27" s="1827"/>
      <c r="FX27" s="1827"/>
      <c r="FY27" s="1827"/>
      <c r="FZ27" s="1827"/>
      <c r="GA27" s="1827"/>
      <c r="GB27" s="1827"/>
      <c r="GC27" s="1827"/>
      <c r="GD27" s="1827"/>
      <c r="GE27" s="1827"/>
      <c r="GF27" s="1827"/>
      <c r="GG27" s="1827"/>
      <c r="GH27" s="1827"/>
      <c r="GI27" s="1827"/>
      <c r="GJ27" s="1827"/>
      <c r="GK27" s="1827"/>
      <c r="GL27" s="1827"/>
      <c r="GM27" s="1827"/>
      <c r="GN27" s="1827"/>
      <c r="GO27" s="1827"/>
      <c r="GP27" s="1827"/>
      <c r="GQ27" s="1827"/>
      <c r="GR27" s="1827"/>
      <c r="GS27" s="1827"/>
      <c r="GT27" s="1827"/>
      <c r="GU27" s="1827"/>
      <c r="GV27" s="1827"/>
      <c r="GW27" s="1827"/>
      <c r="GX27" s="1827"/>
      <c r="GY27" s="1827"/>
      <c r="GZ27" s="1827"/>
      <c r="HA27" s="1827"/>
      <c r="HB27" s="1827"/>
      <c r="HC27" s="1827"/>
      <c r="HD27" s="1827"/>
      <c r="HE27" s="1827"/>
      <c r="HF27" s="1827"/>
      <c r="HG27" s="1827"/>
      <c r="HH27" s="1827"/>
      <c r="HI27" s="1827"/>
      <c r="HJ27" s="1827"/>
      <c r="HK27" s="1827"/>
      <c r="HL27" s="1827"/>
      <c r="HM27" s="1827"/>
      <c r="HN27" s="1827"/>
      <c r="HO27" s="1827"/>
      <c r="HP27" s="1827"/>
      <c r="HQ27" s="1827"/>
      <c r="HR27" s="1827"/>
      <c r="HS27" s="1827"/>
      <c r="HT27" s="1827"/>
      <c r="HU27" s="1827"/>
      <c r="HV27" s="1827"/>
      <c r="HW27" s="1827"/>
      <c r="HX27" s="1827"/>
      <c r="HY27" s="1827"/>
      <c r="HZ27" s="1827"/>
      <c r="IA27" s="1827"/>
      <c r="IB27" s="1827"/>
      <c r="IC27" s="1827"/>
      <c r="ID27" s="1827"/>
      <c r="IE27" s="1827"/>
      <c r="IF27" s="1827"/>
      <c r="IG27" s="1827"/>
      <c r="IH27" s="1827"/>
      <c r="II27" s="1827"/>
      <c r="IJ27" s="1827"/>
      <c r="IK27" s="1827"/>
      <c r="IL27" s="1827"/>
      <c r="IM27" s="1827"/>
      <c r="IN27" s="1827"/>
      <c r="IO27" s="1827"/>
      <c r="IP27" s="1827"/>
      <c r="IQ27" s="1827"/>
      <c r="IR27" s="1827"/>
      <c r="IS27" s="1827"/>
      <c r="IT27" s="1827"/>
      <c r="IU27" s="1827"/>
      <c r="IV27" s="1827"/>
    </row>
    <row r="28" spans="1:256">
      <c r="A28" s="1831">
        <f t="shared" si="2"/>
        <v>15</v>
      </c>
      <c r="B28" s="1828" t="s">
        <v>518</v>
      </c>
      <c r="C28" s="1149">
        <f t="shared" si="3"/>
        <v>0</v>
      </c>
      <c r="D28" s="1149">
        <f t="shared" si="5"/>
        <v>0</v>
      </c>
      <c r="E28" s="1828">
        <v>31</v>
      </c>
      <c r="F28" s="964">
        <v>62</v>
      </c>
      <c r="G28" s="1839">
        <f t="shared" si="0"/>
        <v>0.16986301369863013</v>
      </c>
      <c r="H28" s="1149">
        <f t="shared" si="1"/>
        <v>0</v>
      </c>
      <c r="I28" s="1149">
        <f t="shared" si="4"/>
        <v>0</v>
      </c>
      <c r="J28" s="1827"/>
      <c r="K28" s="1827"/>
      <c r="L28" s="1827"/>
      <c r="M28" s="1827"/>
      <c r="N28" s="1827"/>
      <c r="O28" s="1827"/>
      <c r="P28" s="1827"/>
      <c r="Q28" s="1827"/>
      <c r="R28" s="1827"/>
      <c r="S28" s="1827"/>
      <c r="T28" s="1827"/>
      <c r="U28" s="1827"/>
      <c r="V28" s="1827"/>
      <c r="W28" s="1827"/>
      <c r="X28" s="1827"/>
      <c r="Y28" s="1827"/>
      <c r="Z28" s="1827"/>
      <c r="AA28" s="1827"/>
      <c r="AB28" s="1827"/>
      <c r="AC28" s="1827"/>
      <c r="AD28" s="1827"/>
      <c r="AE28" s="1827"/>
      <c r="AF28" s="1827"/>
      <c r="AG28" s="1827"/>
      <c r="AH28" s="1827"/>
      <c r="AI28" s="1827"/>
      <c r="AJ28" s="1827"/>
      <c r="AK28" s="1827"/>
      <c r="AL28" s="1827"/>
      <c r="AM28" s="1827"/>
      <c r="AN28" s="1827"/>
      <c r="AO28" s="1827"/>
      <c r="AP28" s="1827"/>
      <c r="AQ28" s="1827"/>
      <c r="AR28" s="1827"/>
      <c r="AS28" s="1827"/>
      <c r="AT28" s="1827"/>
      <c r="AU28" s="1827"/>
      <c r="AV28" s="1827"/>
      <c r="AW28" s="1827"/>
      <c r="AX28" s="1827"/>
      <c r="AY28" s="1827"/>
      <c r="AZ28" s="1827"/>
      <c r="BA28" s="1827"/>
      <c r="BB28" s="1827"/>
      <c r="BC28" s="1827"/>
      <c r="BD28" s="1827"/>
      <c r="BE28" s="1827"/>
      <c r="BF28" s="1827"/>
      <c r="BG28" s="1827"/>
      <c r="BH28" s="1827"/>
      <c r="BI28" s="1827"/>
      <c r="BJ28" s="1827"/>
      <c r="BK28" s="1827"/>
      <c r="BL28" s="1827"/>
      <c r="BM28" s="1827"/>
      <c r="BN28" s="1827"/>
      <c r="BO28" s="1827"/>
      <c r="BP28" s="1827"/>
      <c r="BQ28" s="1827"/>
      <c r="BR28" s="1827"/>
      <c r="BS28" s="1827"/>
      <c r="BT28" s="1827"/>
      <c r="BU28" s="1827"/>
      <c r="BV28" s="1827"/>
      <c r="BW28" s="1827"/>
      <c r="BX28" s="1827"/>
      <c r="BY28" s="1827"/>
      <c r="BZ28" s="1827"/>
      <c r="CA28" s="1827"/>
      <c r="CB28" s="1827"/>
      <c r="CC28" s="1827"/>
      <c r="CD28" s="1827"/>
      <c r="CE28" s="1827"/>
      <c r="CF28" s="1827"/>
      <c r="CG28" s="1827"/>
      <c r="CH28" s="1827"/>
      <c r="CI28" s="1827"/>
      <c r="CJ28" s="1827"/>
      <c r="CK28" s="1827"/>
      <c r="CL28" s="1827"/>
      <c r="CM28" s="1827"/>
      <c r="CN28" s="1827"/>
      <c r="CO28" s="1827"/>
      <c r="CP28" s="1827"/>
      <c r="CQ28" s="1827"/>
      <c r="CR28" s="1827"/>
      <c r="CS28" s="1827"/>
      <c r="CT28" s="1827"/>
      <c r="CU28" s="1827"/>
      <c r="CV28" s="1827"/>
      <c r="CW28" s="1827"/>
      <c r="CX28" s="1827"/>
      <c r="CY28" s="1827"/>
      <c r="CZ28" s="1827"/>
      <c r="DA28" s="1827"/>
      <c r="DB28" s="1827"/>
      <c r="DC28" s="1827"/>
      <c r="DD28" s="1827"/>
      <c r="DE28" s="1827"/>
      <c r="DF28" s="1827"/>
      <c r="DG28" s="1827"/>
      <c r="DH28" s="1827"/>
      <c r="DI28" s="1827"/>
      <c r="DJ28" s="1827"/>
      <c r="DK28" s="1827"/>
      <c r="DL28" s="1827"/>
      <c r="DM28" s="1827"/>
      <c r="DN28" s="1827"/>
      <c r="DO28" s="1827"/>
      <c r="DP28" s="1827"/>
      <c r="DQ28" s="1827"/>
      <c r="DR28" s="1827"/>
      <c r="DS28" s="1827"/>
      <c r="DT28" s="1827"/>
      <c r="DU28" s="1827"/>
      <c r="DV28" s="1827"/>
      <c r="DW28" s="1827"/>
      <c r="DX28" s="1827"/>
      <c r="DY28" s="1827"/>
      <c r="DZ28" s="1827"/>
      <c r="EA28" s="1827"/>
      <c r="EB28" s="1827"/>
      <c r="EC28" s="1827"/>
      <c r="ED28" s="1827"/>
      <c r="EE28" s="1827"/>
      <c r="EF28" s="1827"/>
      <c r="EG28" s="1827"/>
      <c r="EH28" s="1827"/>
      <c r="EI28" s="1827"/>
      <c r="EJ28" s="1827"/>
      <c r="EK28" s="1827"/>
      <c r="EL28" s="1827"/>
      <c r="EM28" s="1827"/>
      <c r="EN28" s="1827"/>
      <c r="EO28" s="1827"/>
      <c r="EP28" s="1827"/>
      <c r="EQ28" s="1827"/>
      <c r="ER28" s="1827"/>
      <c r="ES28" s="1827"/>
      <c r="ET28" s="1827"/>
      <c r="EU28" s="1827"/>
      <c r="EV28" s="1827"/>
      <c r="EW28" s="1827"/>
      <c r="EX28" s="1827"/>
      <c r="EY28" s="1827"/>
      <c r="EZ28" s="1827"/>
      <c r="FA28" s="1827"/>
      <c r="FB28" s="1827"/>
      <c r="FC28" s="1827"/>
      <c r="FD28" s="1827"/>
      <c r="FE28" s="1827"/>
      <c r="FF28" s="1827"/>
      <c r="FG28" s="1827"/>
      <c r="FH28" s="1827"/>
      <c r="FI28" s="1827"/>
      <c r="FJ28" s="1827"/>
      <c r="FK28" s="1827"/>
      <c r="FL28" s="1827"/>
      <c r="FM28" s="1827"/>
      <c r="FN28" s="1827"/>
      <c r="FO28" s="1827"/>
      <c r="FP28" s="1827"/>
      <c r="FQ28" s="1827"/>
      <c r="FR28" s="1827"/>
      <c r="FS28" s="1827"/>
      <c r="FT28" s="1827"/>
      <c r="FU28" s="1827"/>
      <c r="FV28" s="1827"/>
      <c r="FW28" s="1827"/>
      <c r="FX28" s="1827"/>
      <c r="FY28" s="1827"/>
      <c r="FZ28" s="1827"/>
      <c r="GA28" s="1827"/>
      <c r="GB28" s="1827"/>
      <c r="GC28" s="1827"/>
      <c r="GD28" s="1827"/>
      <c r="GE28" s="1827"/>
      <c r="GF28" s="1827"/>
      <c r="GG28" s="1827"/>
      <c r="GH28" s="1827"/>
      <c r="GI28" s="1827"/>
      <c r="GJ28" s="1827"/>
      <c r="GK28" s="1827"/>
      <c r="GL28" s="1827"/>
      <c r="GM28" s="1827"/>
      <c r="GN28" s="1827"/>
      <c r="GO28" s="1827"/>
      <c r="GP28" s="1827"/>
      <c r="GQ28" s="1827"/>
      <c r="GR28" s="1827"/>
      <c r="GS28" s="1827"/>
      <c r="GT28" s="1827"/>
      <c r="GU28" s="1827"/>
      <c r="GV28" s="1827"/>
      <c r="GW28" s="1827"/>
      <c r="GX28" s="1827"/>
      <c r="GY28" s="1827"/>
      <c r="GZ28" s="1827"/>
      <c r="HA28" s="1827"/>
      <c r="HB28" s="1827"/>
      <c r="HC28" s="1827"/>
      <c r="HD28" s="1827"/>
      <c r="HE28" s="1827"/>
      <c r="HF28" s="1827"/>
      <c r="HG28" s="1827"/>
      <c r="HH28" s="1827"/>
      <c r="HI28" s="1827"/>
      <c r="HJ28" s="1827"/>
      <c r="HK28" s="1827"/>
      <c r="HL28" s="1827"/>
      <c r="HM28" s="1827"/>
      <c r="HN28" s="1827"/>
      <c r="HO28" s="1827"/>
      <c r="HP28" s="1827"/>
      <c r="HQ28" s="1827"/>
      <c r="HR28" s="1827"/>
      <c r="HS28" s="1827"/>
      <c r="HT28" s="1827"/>
      <c r="HU28" s="1827"/>
      <c r="HV28" s="1827"/>
      <c r="HW28" s="1827"/>
      <c r="HX28" s="1827"/>
      <c r="HY28" s="1827"/>
      <c r="HZ28" s="1827"/>
      <c r="IA28" s="1827"/>
      <c r="IB28" s="1827"/>
      <c r="IC28" s="1827"/>
      <c r="ID28" s="1827"/>
      <c r="IE28" s="1827"/>
      <c r="IF28" s="1827"/>
      <c r="IG28" s="1827"/>
      <c r="IH28" s="1827"/>
      <c r="II28" s="1827"/>
      <c r="IJ28" s="1827"/>
      <c r="IK28" s="1827"/>
      <c r="IL28" s="1827"/>
      <c r="IM28" s="1827"/>
      <c r="IN28" s="1827"/>
      <c r="IO28" s="1827"/>
      <c r="IP28" s="1827"/>
      <c r="IQ28" s="1827"/>
      <c r="IR28" s="1827"/>
      <c r="IS28" s="1827"/>
      <c r="IT28" s="1827"/>
      <c r="IU28" s="1827"/>
      <c r="IV28" s="1827"/>
    </row>
    <row r="29" spans="1:256">
      <c r="A29" s="1831">
        <f t="shared" si="2"/>
        <v>16</v>
      </c>
      <c r="B29" s="1828" t="s">
        <v>519</v>
      </c>
      <c r="C29" s="1149">
        <f t="shared" si="3"/>
        <v>0</v>
      </c>
      <c r="D29" s="1149">
        <f t="shared" si="5"/>
        <v>0</v>
      </c>
      <c r="E29" s="1828">
        <v>30</v>
      </c>
      <c r="F29" s="964">
        <v>32</v>
      </c>
      <c r="G29" s="1839">
        <f t="shared" si="0"/>
        <v>8.7671232876712329E-2</v>
      </c>
      <c r="H29" s="1149">
        <f t="shared" si="1"/>
        <v>0</v>
      </c>
      <c r="I29" s="1149">
        <f t="shared" si="4"/>
        <v>0</v>
      </c>
      <c r="J29" s="1827"/>
      <c r="K29" s="1827"/>
      <c r="L29" s="1827"/>
      <c r="M29" s="1827"/>
      <c r="N29" s="1827"/>
      <c r="O29" s="1827"/>
      <c r="P29" s="1827"/>
      <c r="Q29" s="1827"/>
      <c r="R29" s="1827"/>
      <c r="S29" s="1827"/>
      <c r="T29" s="1827"/>
      <c r="U29" s="1827"/>
      <c r="V29" s="1827"/>
      <c r="W29" s="1827"/>
      <c r="X29" s="1827"/>
      <c r="Y29" s="1827"/>
      <c r="Z29" s="1827"/>
      <c r="AA29" s="1827"/>
      <c r="AB29" s="1827"/>
      <c r="AC29" s="1827"/>
      <c r="AD29" s="1827"/>
      <c r="AE29" s="1827"/>
      <c r="AF29" s="1827"/>
      <c r="AG29" s="1827"/>
      <c r="AH29" s="1827"/>
      <c r="AI29" s="1827"/>
      <c r="AJ29" s="1827"/>
      <c r="AK29" s="1827"/>
      <c r="AL29" s="1827"/>
      <c r="AM29" s="1827"/>
      <c r="AN29" s="1827"/>
      <c r="AO29" s="1827"/>
      <c r="AP29" s="1827"/>
      <c r="AQ29" s="1827"/>
      <c r="AR29" s="1827"/>
      <c r="AS29" s="1827"/>
      <c r="AT29" s="1827"/>
      <c r="AU29" s="1827"/>
      <c r="AV29" s="1827"/>
      <c r="AW29" s="1827"/>
      <c r="AX29" s="1827"/>
      <c r="AY29" s="1827"/>
      <c r="AZ29" s="1827"/>
      <c r="BA29" s="1827"/>
      <c r="BB29" s="1827"/>
      <c r="BC29" s="1827"/>
      <c r="BD29" s="1827"/>
      <c r="BE29" s="1827"/>
      <c r="BF29" s="1827"/>
      <c r="BG29" s="1827"/>
      <c r="BH29" s="1827"/>
      <c r="BI29" s="1827"/>
      <c r="BJ29" s="1827"/>
      <c r="BK29" s="1827"/>
      <c r="BL29" s="1827"/>
      <c r="BM29" s="1827"/>
      <c r="BN29" s="1827"/>
      <c r="BO29" s="1827"/>
      <c r="BP29" s="1827"/>
      <c r="BQ29" s="1827"/>
      <c r="BR29" s="1827"/>
      <c r="BS29" s="1827"/>
      <c r="BT29" s="1827"/>
      <c r="BU29" s="1827"/>
      <c r="BV29" s="1827"/>
      <c r="BW29" s="1827"/>
      <c r="BX29" s="1827"/>
      <c r="BY29" s="1827"/>
      <c r="BZ29" s="1827"/>
      <c r="CA29" s="1827"/>
      <c r="CB29" s="1827"/>
      <c r="CC29" s="1827"/>
      <c r="CD29" s="1827"/>
      <c r="CE29" s="1827"/>
      <c r="CF29" s="1827"/>
      <c r="CG29" s="1827"/>
      <c r="CH29" s="1827"/>
      <c r="CI29" s="1827"/>
      <c r="CJ29" s="1827"/>
      <c r="CK29" s="1827"/>
      <c r="CL29" s="1827"/>
      <c r="CM29" s="1827"/>
      <c r="CN29" s="1827"/>
      <c r="CO29" s="1827"/>
      <c r="CP29" s="1827"/>
      <c r="CQ29" s="1827"/>
      <c r="CR29" s="1827"/>
      <c r="CS29" s="1827"/>
      <c r="CT29" s="1827"/>
      <c r="CU29" s="1827"/>
      <c r="CV29" s="1827"/>
      <c r="CW29" s="1827"/>
      <c r="CX29" s="1827"/>
      <c r="CY29" s="1827"/>
      <c r="CZ29" s="1827"/>
      <c r="DA29" s="1827"/>
      <c r="DB29" s="1827"/>
      <c r="DC29" s="1827"/>
      <c r="DD29" s="1827"/>
      <c r="DE29" s="1827"/>
      <c r="DF29" s="1827"/>
      <c r="DG29" s="1827"/>
      <c r="DH29" s="1827"/>
      <c r="DI29" s="1827"/>
      <c r="DJ29" s="1827"/>
      <c r="DK29" s="1827"/>
      <c r="DL29" s="1827"/>
      <c r="DM29" s="1827"/>
      <c r="DN29" s="1827"/>
      <c r="DO29" s="1827"/>
      <c r="DP29" s="1827"/>
      <c r="DQ29" s="1827"/>
      <c r="DR29" s="1827"/>
      <c r="DS29" s="1827"/>
      <c r="DT29" s="1827"/>
      <c r="DU29" s="1827"/>
      <c r="DV29" s="1827"/>
      <c r="DW29" s="1827"/>
      <c r="DX29" s="1827"/>
      <c r="DY29" s="1827"/>
      <c r="DZ29" s="1827"/>
      <c r="EA29" s="1827"/>
      <c r="EB29" s="1827"/>
      <c r="EC29" s="1827"/>
      <c r="ED29" s="1827"/>
      <c r="EE29" s="1827"/>
      <c r="EF29" s="1827"/>
      <c r="EG29" s="1827"/>
      <c r="EH29" s="1827"/>
      <c r="EI29" s="1827"/>
      <c r="EJ29" s="1827"/>
      <c r="EK29" s="1827"/>
      <c r="EL29" s="1827"/>
      <c r="EM29" s="1827"/>
      <c r="EN29" s="1827"/>
      <c r="EO29" s="1827"/>
      <c r="EP29" s="1827"/>
      <c r="EQ29" s="1827"/>
      <c r="ER29" s="1827"/>
      <c r="ES29" s="1827"/>
      <c r="ET29" s="1827"/>
      <c r="EU29" s="1827"/>
      <c r="EV29" s="1827"/>
      <c r="EW29" s="1827"/>
      <c r="EX29" s="1827"/>
      <c r="EY29" s="1827"/>
      <c r="EZ29" s="1827"/>
      <c r="FA29" s="1827"/>
      <c r="FB29" s="1827"/>
      <c r="FC29" s="1827"/>
      <c r="FD29" s="1827"/>
      <c r="FE29" s="1827"/>
      <c r="FF29" s="1827"/>
      <c r="FG29" s="1827"/>
      <c r="FH29" s="1827"/>
      <c r="FI29" s="1827"/>
      <c r="FJ29" s="1827"/>
      <c r="FK29" s="1827"/>
      <c r="FL29" s="1827"/>
      <c r="FM29" s="1827"/>
      <c r="FN29" s="1827"/>
      <c r="FO29" s="1827"/>
      <c r="FP29" s="1827"/>
      <c r="FQ29" s="1827"/>
      <c r="FR29" s="1827"/>
      <c r="FS29" s="1827"/>
      <c r="FT29" s="1827"/>
      <c r="FU29" s="1827"/>
      <c r="FV29" s="1827"/>
      <c r="FW29" s="1827"/>
      <c r="FX29" s="1827"/>
      <c r="FY29" s="1827"/>
      <c r="FZ29" s="1827"/>
      <c r="GA29" s="1827"/>
      <c r="GB29" s="1827"/>
      <c r="GC29" s="1827"/>
      <c r="GD29" s="1827"/>
      <c r="GE29" s="1827"/>
      <c r="GF29" s="1827"/>
      <c r="GG29" s="1827"/>
      <c r="GH29" s="1827"/>
      <c r="GI29" s="1827"/>
      <c r="GJ29" s="1827"/>
      <c r="GK29" s="1827"/>
      <c r="GL29" s="1827"/>
      <c r="GM29" s="1827"/>
      <c r="GN29" s="1827"/>
      <c r="GO29" s="1827"/>
      <c r="GP29" s="1827"/>
      <c r="GQ29" s="1827"/>
      <c r="GR29" s="1827"/>
      <c r="GS29" s="1827"/>
      <c r="GT29" s="1827"/>
      <c r="GU29" s="1827"/>
      <c r="GV29" s="1827"/>
      <c r="GW29" s="1827"/>
      <c r="GX29" s="1827"/>
      <c r="GY29" s="1827"/>
      <c r="GZ29" s="1827"/>
      <c r="HA29" s="1827"/>
      <c r="HB29" s="1827"/>
      <c r="HC29" s="1827"/>
      <c r="HD29" s="1827"/>
      <c r="HE29" s="1827"/>
      <c r="HF29" s="1827"/>
      <c r="HG29" s="1827"/>
      <c r="HH29" s="1827"/>
      <c r="HI29" s="1827"/>
      <c r="HJ29" s="1827"/>
      <c r="HK29" s="1827"/>
      <c r="HL29" s="1827"/>
      <c r="HM29" s="1827"/>
      <c r="HN29" s="1827"/>
      <c r="HO29" s="1827"/>
      <c r="HP29" s="1827"/>
      <c r="HQ29" s="1827"/>
      <c r="HR29" s="1827"/>
      <c r="HS29" s="1827"/>
      <c r="HT29" s="1827"/>
      <c r="HU29" s="1827"/>
      <c r="HV29" s="1827"/>
      <c r="HW29" s="1827"/>
      <c r="HX29" s="1827"/>
      <c r="HY29" s="1827"/>
      <c r="HZ29" s="1827"/>
      <c r="IA29" s="1827"/>
      <c r="IB29" s="1827"/>
      <c r="IC29" s="1827"/>
      <c r="ID29" s="1827"/>
      <c r="IE29" s="1827"/>
      <c r="IF29" s="1827"/>
      <c r="IG29" s="1827"/>
      <c r="IH29" s="1827"/>
      <c r="II29" s="1827"/>
      <c r="IJ29" s="1827"/>
      <c r="IK29" s="1827"/>
      <c r="IL29" s="1827"/>
      <c r="IM29" s="1827"/>
      <c r="IN29" s="1827"/>
      <c r="IO29" s="1827"/>
      <c r="IP29" s="1827"/>
      <c r="IQ29" s="1827"/>
      <c r="IR29" s="1827"/>
      <c r="IS29" s="1827"/>
      <c r="IT29" s="1827"/>
      <c r="IU29" s="1827"/>
      <c r="IV29" s="1827"/>
    </row>
    <row r="30" spans="1:256">
      <c r="A30" s="1831">
        <f t="shared" si="2"/>
        <v>17</v>
      </c>
      <c r="B30" s="1828" t="s">
        <v>330</v>
      </c>
      <c r="C30" s="1149">
        <f t="shared" si="3"/>
        <v>0</v>
      </c>
      <c r="D30" s="1149">
        <f t="shared" si="5"/>
        <v>0</v>
      </c>
      <c r="E30" s="1828">
        <v>31</v>
      </c>
      <c r="F30" s="964">
        <f>F29-E30</f>
        <v>1</v>
      </c>
      <c r="G30" s="1839">
        <f t="shared" si="0"/>
        <v>2.7397260273972603E-3</v>
      </c>
      <c r="H30" s="1149">
        <f t="shared" si="1"/>
        <v>0</v>
      </c>
      <c r="I30" s="1149">
        <f t="shared" si="4"/>
        <v>0</v>
      </c>
      <c r="J30" s="1827"/>
      <c r="K30" s="1827"/>
      <c r="L30" s="1827"/>
      <c r="M30" s="1827"/>
      <c r="N30" s="1827"/>
      <c r="O30" s="1827"/>
      <c r="P30" s="1827"/>
      <c r="Q30" s="1827"/>
      <c r="R30" s="1827"/>
      <c r="S30" s="1827"/>
      <c r="T30" s="1827"/>
      <c r="U30" s="1827"/>
      <c r="V30" s="1827"/>
      <c r="W30" s="1827"/>
      <c r="X30" s="1827"/>
      <c r="Y30" s="1827"/>
      <c r="Z30" s="1827"/>
      <c r="AA30" s="1827"/>
      <c r="AB30" s="1827"/>
      <c r="AC30" s="1827"/>
      <c r="AD30" s="1827"/>
      <c r="AE30" s="1827"/>
      <c r="AF30" s="1827"/>
      <c r="AG30" s="1827"/>
      <c r="AH30" s="1827"/>
      <c r="AI30" s="1827"/>
      <c r="AJ30" s="1827"/>
      <c r="AK30" s="1827"/>
      <c r="AL30" s="1827"/>
      <c r="AM30" s="1827"/>
      <c r="AN30" s="1827"/>
      <c r="AO30" s="1827"/>
      <c r="AP30" s="1827"/>
      <c r="AQ30" s="1827"/>
      <c r="AR30" s="1827"/>
      <c r="AS30" s="1827"/>
      <c r="AT30" s="1827"/>
      <c r="AU30" s="1827"/>
      <c r="AV30" s="1827"/>
      <c r="AW30" s="1827"/>
      <c r="AX30" s="1827"/>
      <c r="AY30" s="1827"/>
      <c r="AZ30" s="1827"/>
      <c r="BA30" s="1827"/>
      <c r="BB30" s="1827"/>
      <c r="BC30" s="1827"/>
      <c r="BD30" s="1827"/>
      <c r="BE30" s="1827"/>
      <c r="BF30" s="1827"/>
      <c r="BG30" s="1827"/>
      <c r="BH30" s="1827"/>
      <c r="BI30" s="1827"/>
      <c r="BJ30" s="1827"/>
      <c r="BK30" s="1827"/>
      <c r="BL30" s="1827"/>
      <c r="BM30" s="1827"/>
      <c r="BN30" s="1827"/>
      <c r="BO30" s="1827"/>
      <c r="BP30" s="1827"/>
      <c r="BQ30" s="1827"/>
      <c r="BR30" s="1827"/>
      <c r="BS30" s="1827"/>
      <c r="BT30" s="1827"/>
      <c r="BU30" s="1827"/>
      <c r="BV30" s="1827"/>
      <c r="BW30" s="1827"/>
      <c r="BX30" s="1827"/>
      <c r="BY30" s="1827"/>
      <c r="BZ30" s="1827"/>
      <c r="CA30" s="1827"/>
      <c r="CB30" s="1827"/>
      <c r="CC30" s="1827"/>
      <c r="CD30" s="1827"/>
      <c r="CE30" s="1827"/>
      <c r="CF30" s="1827"/>
      <c r="CG30" s="1827"/>
      <c r="CH30" s="1827"/>
      <c r="CI30" s="1827"/>
      <c r="CJ30" s="1827"/>
      <c r="CK30" s="1827"/>
      <c r="CL30" s="1827"/>
      <c r="CM30" s="1827"/>
      <c r="CN30" s="1827"/>
      <c r="CO30" s="1827"/>
      <c r="CP30" s="1827"/>
      <c r="CQ30" s="1827"/>
      <c r="CR30" s="1827"/>
      <c r="CS30" s="1827"/>
      <c r="CT30" s="1827"/>
      <c r="CU30" s="1827"/>
      <c r="CV30" s="1827"/>
      <c r="CW30" s="1827"/>
      <c r="CX30" s="1827"/>
      <c r="CY30" s="1827"/>
      <c r="CZ30" s="1827"/>
      <c r="DA30" s="1827"/>
      <c r="DB30" s="1827"/>
      <c r="DC30" s="1827"/>
      <c r="DD30" s="1827"/>
      <c r="DE30" s="1827"/>
      <c r="DF30" s="1827"/>
      <c r="DG30" s="1827"/>
      <c r="DH30" s="1827"/>
      <c r="DI30" s="1827"/>
      <c r="DJ30" s="1827"/>
      <c r="DK30" s="1827"/>
      <c r="DL30" s="1827"/>
      <c r="DM30" s="1827"/>
      <c r="DN30" s="1827"/>
      <c r="DO30" s="1827"/>
      <c r="DP30" s="1827"/>
      <c r="DQ30" s="1827"/>
      <c r="DR30" s="1827"/>
      <c r="DS30" s="1827"/>
      <c r="DT30" s="1827"/>
      <c r="DU30" s="1827"/>
      <c r="DV30" s="1827"/>
      <c r="DW30" s="1827"/>
      <c r="DX30" s="1827"/>
      <c r="DY30" s="1827"/>
      <c r="DZ30" s="1827"/>
      <c r="EA30" s="1827"/>
      <c r="EB30" s="1827"/>
      <c r="EC30" s="1827"/>
      <c r="ED30" s="1827"/>
      <c r="EE30" s="1827"/>
      <c r="EF30" s="1827"/>
      <c r="EG30" s="1827"/>
      <c r="EH30" s="1827"/>
      <c r="EI30" s="1827"/>
      <c r="EJ30" s="1827"/>
      <c r="EK30" s="1827"/>
      <c r="EL30" s="1827"/>
      <c r="EM30" s="1827"/>
      <c r="EN30" s="1827"/>
      <c r="EO30" s="1827"/>
      <c r="EP30" s="1827"/>
      <c r="EQ30" s="1827"/>
      <c r="ER30" s="1827"/>
      <c r="ES30" s="1827"/>
      <c r="ET30" s="1827"/>
      <c r="EU30" s="1827"/>
      <c r="EV30" s="1827"/>
      <c r="EW30" s="1827"/>
      <c r="EX30" s="1827"/>
      <c r="EY30" s="1827"/>
      <c r="EZ30" s="1827"/>
      <c r="FA30" s="1827"/>
      <c r="FB30" s="1827"/>
      <c r="FC30" s="1827"/>
      <c r="FD30" s="1827"/>
      <c r="FE30" s="1827"/>
      <c r="FF30" s="1827"/>
      <c r="FG30" s="1827"/>
      <c r="FH30" s="1827"/>
      <c r="FI30" s="1827"/>
      <c r="FJ30" s="1827"/>
      <c r="FK30" s="1827"/>
      <c r="FL30" s="1827"/>
      <c r="FM30" s="1827"/>
      <c r="FN30" s="1827"/>
      <c r="FO30" s="1827"/>
      <c r="FP30" s="1827"/>
      <c r="FQ30" s="1827"/>
      <c r="FR30" s="1827"/>
      <c r="FS30" s="1827"/>
      <c r="FT30" s="1827"/>
      <c r="FU30" s="1827"/>
      <c r="FV30" s="1827"/>
      <c r="FW30" s="1827"/>
      <c r="FX30" s="1827"/>
      <c r="FY30" s="1827"/>
      <c r="FZ30" s="1827"/>
      <c r="GA30" s="1827"/>
      <c r="GB30" s="1827"/>
      <c r="GC30" s="1827"/>
      <c r="GD30" s="1827"/>
      <c r="GE30" s="1827"/>
      <c r="GF30" s="1827"/>
      <c r="GG30" s="1827"/>
      <c r="GH30" s="1827"/>
      <c r="GI30" s="1827"/>
      <c r="GJ30" s="1827"/>
      <c r="GK30" s="1827"/>
      <c r="GL30" s="1827"/>
      <c r="GM30" s="1827"/>
      <c r="GN30" s="1827"/>
      <c r="GO30" s="1827"/>
      <c r="GP30" s="1827"/>
      <c r="GQ30" s="1827"/>
      <c r="GR30" s="1827"/>
      <c r="GS30" s="1827"/>
      <c r="GT30" s="1827"/>
      <c r="GU30" s="1827"/>
      <c r="GV30" s="1827"/>
      <c r="GW30" s="1827"/>
      <c r="GX30" s="1827"/>
      <c r="GY30" s="1827"/>
      <c r="GZ30" s="1827"/>
      <c r="HA30" s="1827"/>
      <c r="HB30" s="1827"/>
      <c r="HC30" s="1827"/>
      <c r="HD30" s="1827"/>
      <c r="HE30" s="1827"/>
      <c r="HF30" s="1827"/>
      <c r="HG30" s="1827"/>
      <c r="HH30" s="1827"/>
      <c r="HI30" s="1827"/>
      <c r="HJ30" s="1827"/>
      <c r="HK30" s="1827"/>
      <c r="HL30" s="1827"/>
      <c r="HM30" s="1827"/>
      <c r="HN30" s="1827"/>
      <c r="HO30" s="1827"/>
      <c r="HP30" s="1827"/>
      <c r="HQ30" s="1827"/>
      <c r="HR30" s="1827"/>
      <c r="HS30" s="1827"/>
      <c r="HT30" s="1827"/>
      <c r="HU30" s="1827"/>
      <c r="HV30" s="1827"/>
      <c r="HW30" s="1827"/>
      <c r="HX30" s="1827"/>
      <c r="HY30" s="1827"/>
      <c r="HZ30" s="1827"/>
      <c r="IA30" s="1827"/>
      <c r="IB30" s="1827"/>
      <c r="IC30" s="1827"/>
      <c r="ID30" s="1827"/>
      <c r="IE30" s="1827"/>
      <c r="IF30" s="1827"/>
      <c r="IG30" s="1827"/>
      <c r="IH30" s="1827"/>
      <c r="II30" s="1827"/>
      <c r="IJ30" s="1827"/>
      <c r="IK30" s="1827"/>
      <c r="IL30" s="1827"/>
      <c r="IM30" s="1827"/>
      <c r="IN30" s="1827"/>
      <c r="IO30" s="1827"/>
      <c r="IP30" s="1827"/>
      <c r="IQ30" s="1827"/>
      <c r="IR30" s="1827"/>
      <c r="IS30" s="1827"/>
      <c r="IT30" s="1827"/>
      <c r="IU30" s="1827"/>
      <c r="IV30" s="1827"/>
    </row>
    <row r="31" spans="1:256">
      <c r="A31" s="1831"/>
      <c r="B31" s="1828"/>
      <c r="C31" s="1840"/>
      <c r="D31" s="1840"/>
      <c r="E31" s="1828"/>
      <c r="F31" s="1828"/>
      <c r="G31" s="1828"/>
      <c r="H31" s="1840"/>
      <c r="I31" s="1840"/>
      <c r="J31" s="1827"/>
      <c r="K31" s="1827"/>
      <c r="L31" s="1827"/>
      <c r="M31" s="1827"/>
      <c r="N31" s="1827"/>
      <c r="O31" s="1827"/>
      <c r="P31" s="1827"/>
      <c r="Q31" s="1827"/>
      <c r="R31" s="1827"/>
      <c r="S31" s="1827"/>
      <c r="T31" s="1827"/>
      <c r="U31" s="1827"/>
      <c r="V31" s="1827"/>
      <c r="W31" s="1827"/>
      <c r="X31" s="1827"/>
      <c r="Y31" s="1827"/>
      <c r="Z31" s="1827"/>
      <c r="AA31" s="1827"/>
      <c r="AB31" s="1827"/>
      <c r="AC31" s="1827"/>
      <c r="AD31" s="1827"/>
      <c r="AE31" s="1827"/>
      <c r="AF31" s="1827"/>
      <c r="AG31" s="1827"/>
      <c r="AH31" s="1827"/>
      <c r="AI31" s="1827"/>
      <c r="AJ31" s="1827"/>
      <c r="AK31" s="1827"/>
      <c r="AL31" s="1827"/>
      <c r="AM31" s="1827"/>
      <c r="AN31" s="1827"/>
      <c r="AO31" s="1827"/>
      <c r="AP31" s="1827"/>
      <c r="AQ31" s="1827"/>
      <c r="AR31" s="1827"/>
      <c r="AS31" s="1827"/>
      <c r="AT31" s="1827"/>
      <c r="AU31" s="1827"/>
      <c r="AV31" s="1827"/>
      <c r="AW31" s="1827"/>
      <c r="AX31" s="1827"/>
      <c r="AY31" s="1827"/>
      <c r="AZ31" s="1827"/>
      <c r="BA31" s="1827"/>
      <c r="BB31" s="1827"/>
      <c r="BC31" s="1827"/>
      <c r="BD31" s="1827"/>
      <c r="BE31" s="1827"/>
      <c r="BF31" s="1827"/>
      <c r="BG31" s="1827"/>
      <c r="BH31" s="1827"/>
      <c r="BI31" s="1827"/>
      <c r="BJ31" s="1827"/>
      <c r="BK31" s="1827"/>
      <c r="BL31" s="1827"/>
      <c r="BM31" s="1827"/>
      <c r="BN31" s="1827"/>
      <c r="BO31" s="1827"/>
      <c r="BP31" s="1827"/>
      <c r="BQ31" s="1827"/>
      <c r="BR31" s="1827"/>
      <c r="BS31" s="1827"/>
      <c r="BT31" s="1827"/>
      <c r="BU31" s="1827"/>
      <c r="BV31" s="1827"/>
      <c r="BW31" s="1827"/>
      <c r="BX31" s="1827"/>
      <c r="BY31" s="1827"/>
      <c r="BZ31" s="1827"/>
      <c r="CA31" s="1827"/>
      <c r="CB31" s="1827"/>
      <c r="CC31" s="1827"/>
      <c r="CD31" s="1827"/>
      <c r="CE31" s="1827"/>
      <c r="CF31" s="1827"/>
      <c r="CG31" s="1827"/>
      <c r="CH31" s="1827"/>
      <c r="CI31" s="1827"/>
      <c r="CJ31" s="1827"/>
      <c r="CK31" s="1827"/>
      <c r="CL31" s="1827"/>
      <c r="CM31" s="1827"/>
      <c r="CN31" s="1827"/>
      <c r="CO31" s="1827"/>
      <c r="CP31" s="1827"/>
      <c r="CQ31" s="1827"/>
      <c r="CR31" s="1827"/>
      <c r="CS31" s="1827"/>
      <c r="CT31" s="1827"/>
      <c r="CU31" s="1827"/>
      <c r="CV31" s="1827"/>
      <c r="CW31" s="1827"/>
      <c r="CX31" s="1827"/>
      <c r="CY31" s="1827"/>
      <c r="CZ31" s="1827"/>
      <c r="DA31" s="1827"/>
      <c r="DB31" s="1827"/>
      <c r="DC31" s="1827"/>
      <c r="DD31" s="1827"/>
      <c r="DE31" s="1827"/>
      <c r="DF31" s="1827"/>
      <c r="DG31" s="1827"/>
      <c r="DH31" s="1827"/>
      <c r="DI31" s="1827"/>
      <c r="DJ31" s="1827"/>
      <c r="DK31" s="1827"/>
      <c r="DL31" s="1827"/>
      <c r="DM31" s="1827"/>
      <c r="DN31" s="1827"/>
      <c r="DO31" s="1827"/>
      <c r="DP31" s="1827"/>
      <c r="DQ31" s="1827"/>
      <c r="DR31" s="1827"/>
      <c r="DS31" s="1827"/>
      <c r="DT31" s="1827"/>
      <c r="DU31" s="1827"/>
      <c r="DV31" s="1827"/>
      <c r="DW31" s="1827"/>
      <c r="DX31" s="1827"/>
      <c r="DY31" s="1827"/>
      <c r="DZ31" s="1827"/>
      <c r="EA31" s="1827"/>
      <c r="EB31" s="1827"/>
      <c r="EC31" s="1827"/>
      <c r="ED31" s="1827"/>
      <c r="EE31" s="1827"/>
      <c r="EF31" s="1827"/>
      <c r="EG31" s="1827"/>
      <c r="EH31" s="1827"/>
      <c r="EI31" s="1827"/>
      <c r="EJ31" s="1827"/>
      <c r="EK31" s="1827"/>
      <c r="EL31" s="1827"/>
      <c r="EM31" s="1827"/>
      <c r="EN31" s="1827"/>
      <c r="EO31" s="1827"/>
      <c r="EP31" s="1827"/>
      <c r="EQ31" s="1827"/>
      <c r="ER31" s="1827"/>
      <c r="ES31" s="1827"/>
      <c r="ET31" s="1827"/>
      <c r="EU31" s="1827"/>
      <c r="EV31" s="1827"/>
      <c r="EW31" s="1827"/>
      <c r="EX31" s="1827"/>
      <c r="EY31" s="1827"/>
      <c r="EZ31" s="1827"/>
      <c r="FA31" s="1827"/>
      <c r="FB31" s="1827"/>
      <c r="FC31" s="1827"/>
      <c r="FD31" s="1827"/>
      <c r="FE31" s="1827"/>
      <c r="FF31" s="1827"/>
      <c r="FG31" s="1827"/>
      <c r="FH31" s="1827"/>
      <c r="FI31" s="1827"/>
      <c r="FJ31" s="1827"/>
      <c r="FK31" s="1827"/>
      <c r="FL31" s="1827"/>
      <c r="FM31" s="1827"/>
      <c r="FN31" s="1827"/>
      <c r="FO31" s="1827"/>
      <c r="FP31" s="1827"/>
      <c r="FQ31" s="1827"/>
      <c r="FR31" s="1827"/>
      <c r="FS31" s="1827"/>
      <c r="FT31" s="1827"/>
      <c r="FU31" s="1827"/>
      <c r="FV31" s="1827"/>
      <c r="FW31" s="1827"/>
      <c r="FX31" s="1827"/>
      <c r="FY31" s="1827"/>
      <c r="FZ31" s="1827"/>
      <c r="GA31" s="1827"/>
      <c r="GB31" s="1827"/>
      <c r="GC31" s="1827"/>
      <c r="GD31" s="1827"/>
      <c r="GE31" s="1827"/>
      <c r="GF31" s="1827"/>
      <c r="GG31" s="1827"/>
      <c r="GH31" s="1827"/>
      <c r="GI31" s="1827"/>
      <c r="GJ31" s="1827"/>
      <c r="GK31" s="1827"/>
      <c r="GL31" s="1827"/>
      <c r="GM31" s="1827"/>
      <c r="GN31" s="1827"/>
      <c r="GO31" s="1827"/>
      <c r="GP31" s="1827"/>
      <c r="GQ31" s="1827"/>
      <c r="GR31" s="1827"/>
      <c r="GS31" s="1827"/>
      <c r="GT31" s="1827"/>
      <c r="GU31" s="1827"/>
      <c r="GV31" s="1827"/>
      <c r="GW31" s="1827"/>
      <c r="GX31" s="1827"/>
      <c r="GY31" s="1827"/>
      <c r="GZ31" s="1827"/>
      <c r="HA31" s="1827"/>
      <c r="HB31" s="1827"/>
      <c r="HC31" s="1827"/>
      <c r="HD31" s="1827"/>
      <c r="HE31" s="1827"/>
      <c r="HF31" s="1827"/>
      <c r="HG31" s="1827"/>
      <c r="HH31" s="1827"/>
      <c r="HI31" s="1827"/>
      <c r="HJ31" s="1827"/>
      <c r="HK31" s="1827"/>
      <c r="HL31" s="1827"/>
      <c r="HM31" s="1827"/>
      <c r="HN31" s="1827"/>
      <c r="HO31" s="1827"/>
      <c r="HP31" s="1827"/>
      <c r="HQ31" s="1827"/>
      <c r="HR31" s="1827"/>
      <c r="HS31" s="1827"/>
      <c r="HT31" s="1827"/>
      <c r="HU31" s="1827"/>
      <c r="HV31" s="1827"/>
      <c r="HW31" s="1827"/>
      <c r="HX31" s="1827"/>
      <c r="HY31" s="1827"/>
      <c r="HZ31" s="1827"/>
      <c r="IA31" s="1827"/>
      <c r="IB31" s="1827"/>
      <c r="IC31" s="1827"/>
      <c r="ID31" s="1827"/>
      <c r="IE31" s="1827"/>
      <c r="IF31" s="1827"/>
      <c r="IG31" s="1827"/>
      <c r="IH31" s="1827"/>
      <c r="II31" s="1827"/>
      <c r="IJ31" s="1827"/>
      <c r="IK31" s="1827"/>
      <c r="IL31" s="1827"/>
      <c r="IM31" s="1827"/>
      <c r="IN31" s="1827"/>
      <c r="IO31" s="1827"/>
      <c r="IP31" s="1827"/>
      <c r="IQ31" s="1827"/>
      <c r="IR31" s="1827"/>
      <c r="IS31" s="1827"/>
      <c r="IT31" s="1827"/>
      <c r="IU31" s="1827"/>
      <c r="IV31" s="1827"/>
    </row>
    <row r="32" spans="1:256">
      <c r="A32" s="1831">
        <f>+A30+1</f>
        <v>18</v>
      </c>
      <c r="B32" s="1828" t="s">
        <v>520</v>
      </c>
      <c r="C32" s="1840"/>
      <c r="D32" s="1149">
        <f>+D30</f>
        <v>0</v>
      </c>
      <c r="E32" s="1828"/>
      <c r="F32" s="1828"/>
      <c r="G32" s="1828"/>
      <c r="H32" s="1840"/>
      <c r="I32" s="1149">
        <f>+I30</f>
        <v>0</v>
      </c>
      <c r="J32" s="1827"/>
      <c r="K32" s="1827"/>
      <c r="L32" s="1827"/>
      <c r="M32" s="1827"/>
      <c r="N32" s="1827"/>
      <c r="O32" s="1827"/>
      <c r="P32" s="1827"/>
      <c r="Q32" s="1827"/>
      <c r="R32" s="1827"/>
      <c r="S32" s="1827"/>
      <c r="T32" s="1827"/>
      <c r="U32" s="1827"/>
      <c r="V32" s="1827"/>
      <c r="W32" s="1827"/>
      <c r="X32" s="1827"/>
      <c r="Y32" s="1827"/>
      <c r="Z32" s="1827"/>
      <c r="AA32" s="1827"/>
      <c r="AB32" s="1827"/>
      <c r="AC32" s="1827"/>
      <c r="AD32" s="1827"/>
      <c r="AE32" s="1827"/>
      <c r="AF32" s="1827"/>
      <c r="AG32" s="1827"/>
      <c r="AH32" s="1827"/>
      <c r="AI32" s="1827"/>
      <c r="AJ32" s="1827"/>
      <c r="AK32" s="1827"/>
      <c r="AL32" s="1827"/>
      <c r="AM32" s="1827"/>
      <c r="AN32" s="1827"/>
      <c r="AO32" s="1827"/>
      <c r="AP32" s="1827"/>
      <c r="AQ32" s="1827"/>
      <c r="AR32" s="1827"/>
      <c r="AS32" s="1827"/>
      <c r="AT32" s="1827"/>
      <c r="AU32" s="1827"/>
      <c r="AV32" s="1827"/>
      <c r="AW32" s="1827"/>
      <c r="AX32" s="1827"/>
      <c r="AY32" s="1827"/>
      <c r="AZ32" s="1827"/>
      <c r="BA32" s="1827"/>
      <c r="BB32" s="1827"/>
      <c r="BC32" s="1827"/>
      <c r="BD32" s="1827"/>
      <c r="BE32" s="1827"/>
      <c r="BF32" s="1827"/>
      <c r="BG32" s="1827"/>
      <c r="BH32" s="1827"/>
      <c r="BI32" s="1827"/>
      <c r="BJ32" s="1827"/>
      <c r="BK32" s="1827"/>
      <c r="BL32" s="1827"/>
      <c r="BM32" s="1827"/>
      <c r="BN32" s="1827"/>
      <c r="BO32" s="1827"/>
      <c r="BP32" s="1827"/>
      <c r="BQ32" s="1827"/>
      <c r="BR32" s="1827"/>
      <c r="BS32" s="1827"/>
      <c r="BT32" s="1827"/>
      <c r="BU32" s="1827"/>
      <c r="BV32" s="1827"/>
      <c r="BW32" s="1827"/>
      <c r="BX32" s="1827"/>
      <c r="BY32" s="1827"/>
      <c r="BZ32" s="1827"/>
      <c r="CA32" s="1827"/>
      <c r="CB32" s="1827"/>
      <c r="CC32" s="1827"/>
      <c r="CD32" s="1827"/>
      <c r="CE32" s="1827"/>
      <c r="CF32" s="1827"/>
      <c r="CG32" s="1827"/>
      <c r="CH32" s="1827"/>
      <c r="CI32" s="1827"/>
      <c r="CJ32" s="1827"/>
      <c r="CK32" s="1827"/>
      <c r="CL32" s="1827"/>
      <c r="CM32" s="1827"/>
      <c r="CN32" s="1827"/>
      <c r="CO32" s="1827"/>
      <c r="CP32" s="1827"/>
      <c r="CQ32" s="1827"/>
      <c r="CR32" s="1827"/>
      <c r="CS32" s="1827"/>
      <c r="CT32" s="1827"/>
      <c r="CU32" s="1827"/>
      <c r="CV32" s="1827"/>
      <c r="CW32" s="1827"/>
      <c r="CX32" s="1827"/>
      <c r="CY32" s="1827"/>
      <c r="CZ32" s="1827"/>
      <c r="DA32" s="1827"/>
      <c r="DB32" s="1827"/>
      <c r="DC32" s="1827"/>
      <c r="DD32" s="1827"/>
      <c r="DE32" s="1827"/>
      <c r="DF32" s="1827"/>
      <c r="DG32" s="1827"/>
      <c r="DH32" s="1827"/>
      <c r="DI32" s="1827"/>
      <c r="DJ32" s="1827"/>
      <c r="DK32" s="1827"/>
      <c r="DL32" s="1827"/>
      <c r="DM32" s="1827"/>
      <c r="DN32" s="1827"/>
      <c r="DO32" s="1827"/>
      <c r="DP32" s="1827"/>
      <c r="DQ32" s="1827"/>
      <c r="DR32" s="1827"/>
      <c r="DS32" s="1827"/>
      <c r="DT32" s="1827"/>
      <c r="DU32" s="1827"/>
      <c r="DV32" s="1827"/>
      <c r="DW32" s="1827"/>
      <c r="DX32" s="1827"/>
      <c r="DY32" s="1827"/>
      <c r="DZ32" s="1827"/>
      <c r="EA32" s="1827"/>
      <c r="EB32" s="1827"/>
      <c r="EC32" s="1827"/>
      <c r="ED32" s="1827"/>
      <c r="EE32" s="1827"/>
      <c r="EF32" s="1827"/>
      <c r="EG32" s="1827"/>
      <c r="EH32" s="1827"/>
      <c r="EI32" s="1827"/>
      <c r="EJ32" s="1827"/>
      <c r="EK32" s="1827"/>
      <c r="EL32" s="1827"/>
      <c r="EM32" s="1827"/>
      <c r="EN32" s="1827"/>
      <c r="EO32" s="1827"/>
      <c r="EP32" s="1827"/>
      <c r="EQ32" s="1827"/>
      <c r="ER32" s="1827"/>
      <c r="ES32" s="1827"/>
      <c r="ET32" s="1827"/>
      <c r="EU32" s="1827"/>
      <c r="EV32" s="1827"/>
      <c r="EW32" s="1827"/>
      <c r="EX32" s="1827"/>
      <c r="EY32" s="1827"/>
      <c r="EZ32" s="1827"/>
      <c r="FA32" s="1827"/>
      <c r="FB32" s="1827"/>
      <c r="FC32" s="1827"/>
      <c r="FD32" s="1827"/>
      <c r="FE32" s="1827"/>
      <c r="FF32" s="1827"/>
      <c r="FG32" s="1827"/>
      <c r="FH32" s="1827"/>
      <c r="FI32" s="1827"/>
      <c r="FJ32" s="1827"/>
      <c r="FK32" s="1827"/>
      <c r="FL32" s="1827"/>
      <c r="FM32" s="1827"/>
      <c r="FN32" s="1827"/>
      <c r="FO32" s="1827"/>
      <c r="FP32" s="1827"/>
      <c r="FQ32" s="1827"/>
      <c r="FR32" s="1827"/>
      <c r="FS32" s="1827"/>
      <c r="FT32" s="1827"/>
      <c r="FU32" s="1827"/>
      <c r="FV32" s="1827"/>
      <c r="FW32" s="1827"/>
      <c r="FX32" s="1827"/>
      <c r="FY32" s="1827"/>
      <c r="FZ32" s="1827"/>
      <c r="GA32" s="1827"/>
      <c r="GB32" s="1827"/>
      <c r="GC32" s="1827"/>
      <c r="GD32" s="1827"/>
      <c r="GE32" s="1827"/>
      <c r="GF32" s="1827"/>
      <c r="GG32" s="1827"/>
      <c r="GH32" s="1827"/>
      <c r="GI32" s="1827"/>
      <c r="GJ32" s="1827"/>
      <c r="GK32" s="1827"/>
      <c r="GL32" s="1827"/>
      <c r="GM32" s="1827"/>
      <c r="GN32" s="1827"/>
      <c r="GO32" s="1827"/>
      <c r="GP32" s="1827"/>
      <c r="GQ32" s="1827"/>
      <c r="GR32" s="1827"/>
      <c r="GS32" s="1827"/>
      <c r="GT32" s="1827"/>
      <c r="GU32" s="1827"/>
      <c r="GV32" s="1827"/>
      <c r="GW32" s="1827"/>
      <c r="GX32" s="1827"/>
      <c r="GY32" s="1827"/>
      <c r="GZ32" s="1827"/>
      <c r="HA32" s="1827"/>
      <c r="HB32" s="1827"/>
      <c r="HC32" s="1827"/>
      <c r="HD32" s="1827"/>
      <c r="HE32" s="1827"/>
      <c r="HF32" s="1827"/>
      <c r="HG32" s="1827"/>
      <c r="HH32" s="1827"/>
      <c r="HI32" s="1827"/>
      <c r="HJ32" s="1827"/>
      <c r="HK32" s="1827"/>
      <c r="HL32" s="1827"/>
      <c r="HM32" s="1827"/>
      <c r="HN32" s="1827"/>
      <c r="HO32" s="1827"/>
      <c r="HP32" s="1827"/>
      <c r="HQ32" s="1827"/>
      <c r="HR32" s="1827"/>
      <c r="HS32" s="1827"/>
      <c r="HT32" s="1827"/>
      <c r="HU32" s="1827"/>
      <c r="HV32" s="1827"/>
      <c r="HW32" s="1827"/>
      <c r="HX32" s="1827"/>
      <c r="HY32" s="1827"/>
      <c r="HZ32" s="1827"/>
      <c r="IA32" s="1827"/>
      <c r="IB32" s="1827"/>
      <c r="IC32" s="1827"/>
      <c r="ID32" s="1827"/>
      <c r="IE32" s="1827"/>
      <c r="IF32" s="1827"/>
      <c r="IG32" s="1827"/>
      <c r="IH32" s="1827"/>
      <c r="II32" s="1827"/>
      <c r="IJ32" s="1827"/>
      <c r="IK32" s="1827"/>
      <c r="IL32" s="1827"/>
      <c r="IM32" s="1827"/>
      <c r="IN32" s="1827"/>
      <c r="IO32" s="1827"/>
      <c r="IP32" s="1827"/>
      <c r="IQ32" s="1827"/>
      <c r="IR32" s="1827"/>
      <c r="IS32" s="1827"/>
      <c r="IT32" s="1827"/>
      <c r="IU32" s="1827"/>
      <c r="IV32" s="1827"/>
    </row>
    <row r="33" spans="1:256">
      <c r="A33" s="1831"/>
      <c r="B33" s="1841"/>
      <c r="C33" s="1841"/>
      <c r="D33" s="1841"/>
      <c r="E33" s="1841"/>
      <c r="F33" s="1841"/>
      <c r="G33" s="1841"/>
      <c r="H33" s="1841"/>
      <c r="I33" s="1841"/>
      <c r="J33" s="1827"/>
      <c r="K33" s="1827"/>
      <c r="L33" s="1827"/>
      <c r="M33" s="1827"/>
      <c r="N33" s="1827"/>
      <c r="O33" s="1827"/>
      <c r="P33" s="1827"/>
      <c r="Q33" s="1827"/>
      <c r="R33" s="1827"/>
      <c r="S33" s="1827"/>
      <c r="T33" s="1827"/>
      <c r="U33" s="1827"/>
      <c r="V33" s="1827"/>
      <c r="W33" s="1827"/>
      <c r="X33" s="1827"/>
      <c r="Y33" s="1827"/>
      <c r="Z33" s="1827"/>
      <c r="AA33" s="1827"/>
      <c r="AB33" s="1827"/>
      <c r="AC33" s="1827"/>
      <c r="AD33" s="1827"/>
      <c r="AE33" s="1827"/>
      <c r="AF33" s="1827"/>
      <c r="AG33" s="1827"/>
      <c r="AH33" s="1827"/>
      <c r="AI33" s="1827"/>
      <c r="AJ33" s="1827"/>
      <c r="AK33" s="1827"/>
      <c r="AL33" s="1827"/>
      <c r="AM33" s="1827"/>
      <c r="AN33" s="1827"/>
      <c r="AO33" s="1827"/>
      <c r="AP33" s="1827"/>
      <c r="AQ33" s="1827"/>
      <c r="AR33" s="1827"/>
      <c r="AS33" s="1827"/>
      <c r="AT33" s="1827"/>
      <c r="AU33" s="1827"/>
      <c r="AV33" s="1827"/>
      <c r="AW33" s="1827"/>
      <c r="AX33" s="1827"/>
      <c r="AY33" s="1827"/>
      <c r="AZ33" s="1827"/>
      <c r="BA33" s="1827"/>
      <c r="BB33" s="1827"/>
      <c r="BC33" s="1827"/>
      <c r="BD33" s="1827"/>
      <c r="BE33" s="1827"/>
      <c r="BF33" s="1827"/>
      <c r="BG33" s="1827"/>
      <c r="BH33" s="1827"/>
      <c r="BI33" s="1827"/>
      <c r="BJ33" s="1827"/>
      <c r="BK33" s="1827"/>
      <c r="BL33" s="1827"/>
      <c r="BM33" s="1827"/>
      <c r="BN33" s="1827"/>
      <c r="BO33" s="1827"/>
      <c r="BP33" s="1827"/>
      <c r="BQ33" s="1827"/>
      <c r="BR33" s="1827"/>
      <c r="BS33" s="1827"/>
      <c r="BT33" s="1827"/>
      <c r="BU33" s="1827"/>
      <c r="BV33" s="1827"/>
      <c r="BW33" s="1827"/>
      <c r="BX33" s="1827"/>
      <c r="BY33" s="1827"/>
      <c r="BZ33" s="1827"/>
      <c r="CA33" s="1827"/>
      <c r="CB33" s="1827"/>
      <c r="CC33" s="1827"/>
      <c r="CD33" s="1827"/>
      <c r="CE33" s="1827"/>
      <c r="CF33" s="1827"/>
      <c r="CG33" s="1827"/>
      <c r="CH33" s="1827"/>
      <c r="CI33" s="1827"/>
      <c r="CJ33" s="1827"/>
      <c r="CK33" s="1827"/>
      <c r="CL33" s="1827"/>
      <c r="CM33" s="1827"/>
      <c r="CN33" s="1827"/>
      <c r="CO33" s="1827"/>
      <c r="CP33" s="1827"/>
      <c r="CQ33" s="1827"/>
      <c r="CR33" s="1827"/>
      <c r="CS33" s="1827"/>
      <c r="CT33" s="1827"/>
      <c r="CU33" s="1827"/>
      <c r="CV33" s="1827"/>
      <c r="CW33" s="1827"/>
      <c r="CX33" s="1827"/>
      <c r="CY33" s="1827"/>
      <c r="CZ33" s="1827"/>
      <c r="DA33" s="1827"/>
      <c r="DB33" s="1827"/>
      <c r="DC33" s="1827"/>
      <c r="DD33" s="1827"/>
      <c r="DE33" s="1827"/>
      <c r="DF33" s="1827"/>
      <c r="DG33" s="1827"/>
      <c r="DH33" s="1827"/>
      <c r="DI33" s="1827"/>
      <c r="DJ33" s="1827"/>
      <c r="DK33" s="1827"/>
      <c r="DL33" s="1827"/>
      <c r="DM33" s="1827"/>
      <c r="DN33" s="1827"/>
      <c r="DO33" s="1827"/>
      <c r="DP33" s="1827"/>
      <c r="DQ33" s="1827"/>
      <c r="DR33" s="1827"/>
      <c r="DS33" s="1827"/>
      <c r="DT33" s="1827"/>
      <c r="DU33" s="1827"/>
      <c r="DV33" s="1827"/>
      <c r="DW33" s="1827"/>
      <c r="DX33" s="1827"/>
      <c r="DY33" s="1827"/>
      <c r="DZ33" s="1827"/>
      <c r="EA33" s="1827"/>
      <c r="EB33" s="1827"/>
      <c r="EC33" s="1827"/>
      <c r="ED33" s="1827"/>
      <c r="EE33" s="1827"/>
      <c r="EF33" s="1827"/>
      <c r="EG33" s="1827"/>
      <c r="EH33" s="1827"/>
      <c r="EI33" s="1827"/>
      <c r="EJ33" s="1827"/>
      <c r="EK33" s="1827"/>
      <c r="EL33" s="1827"/>
      <c r="EM33" s="1827"/>
      <c r="EN33" s="1827"/>
      <c r="EO33" s="1827"/>
      <c r="EP33" s="1827"/>
      <c r="EQ33" s="1827"/>
      <c r="ER33" s="1827"/>
      <c r="ES33" s="1827"/>
      <c r="ET33" s="1827"/>
      <c r="EU33" s="1827"/>
      <c r="EV33" s="1827"/>
      <c r="EW33" s="1827"/>
      <c r="EX33" s="1827"/>
      <c r="EY33" s="1827"/>
      <c r="EZ33" s="1827"/>
      <c r="FA33" s="1827"/>
      <c r="FB33" s="1827"/>
      <c r="FC33" s="1827"/>
      <c r="FD33" s="1827"/>
      <c r="FE33" s="1827"/>
      <c r="FF33" s="1827"/>
      <c r="FG33" s="1827"/>
      <c r="FH33" s="1827"/>
      <c r="FI33" s="1827"/>
      <c r="FJ33" s="1827"/>
      <c r="FK33" s="1827"/>
      <c r="FL33" s="1827"/>
      <c r="FM33" s="1827"/>
      <c r="FN33" s="1827"/>
      <c r="FO33" s="1827"/>
      <c r="FP33" s="1827"/>
      <c r="FQ33" s="1827"/>
      <c r="FR33" s="1827"/>
      <c r="FS33" s="1827"/>
      <c r="FT33" s="1827"/>
      <c r="FU33" s="1827"/>
      <c r="FV33" s="1827"/>
      <c r="FW33" s="1827"/>
      <c r="FX33" s="1827"/>
      <c r="FY33" s="1827"/>
      <c r="FZ33" s="1827"/>
      <c r="GA33" s="1827"/>
      <c r="GB33" s="1827"/>
      <c r="GC33" s="1827"/>
      <c r="GD33" s="1827"/>
      <c r="GE33" s="1827"/>
      <c r="GF33" s="1827"/>
      <c r="GG33" s="1827"/>
      <c r="GH33" s="1827"/>
      <c r="GI33" s="1827"/>
      <c r="GJ33" s="1827"/>
      <c r="GK33" s="1827"/>
      <c r="GL33" s="1827"/>
      <c r="GM33" s="1827"/>
      <c r="GN33" s="1827"/>
      <c r="GO33" s="1827"/>
      <c r="GP33" s="1827"/>
      <c r="GQ33" s="1827"/>
      <c r="GR33" s="1827"/>
      <c r="GS33" s="1827"/>
      <c r="GT33" s="1827"/>
      <c r="GU33" s="1827"/>
      <c r="GV33" s="1827"/>
      <c r="GW33" s="1827"/>
      <c r="GX33" s="1827"/>
      <c r="GY33" s="1827"/>
      <c r="GZ33" s="1827"/>
      <c r="HA33" s="1827"/>
      <c r="HB33" s="1827"/>
      <c r="HC33" s="1827"/>
      <c r="HD33" s="1827"/>
      <c r="HE33" s="1827"/>
      <c r="HF33" s="1827"/>
      <c r="HG33" s="1827"/>
      <c r="HH33" s="1827"/>
      <c r="HI33" s="1827"/>
      <c r="HJ33" s="1827"/>
      <c r="HK33" s="1827"/>
      <c r="HL33" s="1827"/>
      <c r="HM33" s="1827"/>
      <c r="HN33" s="1827"/>
      <c r="HO33" s="1827"/>
      <c r="HP33" s="1827"/>
      <c r="HQ33" s="1827"/>
      <c r="HR33" s="1827"/>
      <c r="HS33" s="1827"/>
      <c r="HT33" s="1827"/>
      <c r="HU33" s="1827"/>
      <c r="HV33" s="1827"/>
      <c r="HW33" s="1827"/>
      <c r="HX33" s="1827"/>
      <c r="HY33" s="1827"/>
      <c r="HZ33" s="1827"/>
      <c r="IA33" s="1827"/>
      <c r="IB33" s="1827"/>
      <c r="IC33" s="1827"/>
      <c r="ID33" s="1827"/>
      <c r="IE33" s="1827"/>
      <c r="IF33" s="1827"/>
      <c r="IG33" s="1827"/>
      <c r="IH33" s="1827"/>
      <c r="II33" s="1827"/>
      <c r="IJ33" s="1827"/>
      <c r="IK33" s="1827"/>
      <c r="IL33" s="1827"/>
      <c r="IM33" s="1827"/>
      <c r="IN33" s="1827"/>
      <c r="IO33" s="1827"/>
      <c r="IP33" s="1827"/>
      <c r="IQ33" s="1827"/>
      <c r="IR33" s="1827"/>
      <c r="IS33" s="1827"/>
      <c r="IT33" s="1827"/>
      <c r="IU33" s="1827"/>
      <c r="IV33" s="1827"/>
    </row>
    <row r="34" spans="1:256" ht="13.5" thickBot="1">
      <c r="A34" s="1831">
        <f>+A32+1</f>
        <v>19</v>
      </c>
      <c r="B34" s="1842" t="str">
        <f>"Proration Adjustment - Line "&amp;A32&amp;" Col. "&amp;I16&amp;" less Col. "&amp;D16</f>
        <v>Proration Adjustment - Line 18 Col. (H) less Col. (C )</v>
      </c>
      <c r="C34" s="1842"/>
      <c r="D34" s="1842"/>
      <c r="E34" s="1842"/>
      <c r="F34" s="1842"/>
      <c r="G34" s="1842"/>
      <c r="H34" s="1842"/>
      <c r="I34" s="1843">
        <f>+I32-D32</f>
        <v>0</v>
      </c>
      <c r="J34" s="1827"/>
      <c r="K34" s="1827"/>
      <c r="L34" s="1827"/>
      <c r="M34" s="1827"/>
      <c r="N34" s="1827"/>
      <c r="O34" s="1827"/>
      <c r="P34" s="1827"/>
      <c r="Q34" s="1827"/>
      <c r="R34" s="1827"/>
      <c r="S34" s="1827"/>
      <c r="T34" s="1827"/>
      <c r="U34" s="1827"/>
      <c r="V34" s="1827"/>
      <c r="W34" s="1827"/>
      <c r="X34" s="1827"/>
      <c r="Y34" s="1827"/>
      <c r="Z34" s="1827"/>
      <c r="AA34" s="1827"/>
      <c r="AB34" s="1827"/>
      <c r="AC34" s="1827"/>
      <c r="AD34" s="1827"/>
      <c r="AE34" s="1827"/>
      <c r="AF34" s="1827"/>
      <c r="AG34" s="1827"/>
      <c r="AH34" s="1827"/>
      <c r="AI34" s="1827"/>
      <c r="AJ34" s="1827"/>
      <c r="AK34" s="1827"/>
      <c r="AL34" s="1827"/>
      <c r="AM34" s="1827"/>
      <c r="AN34" s="1827"/>
      <c r="AO34" s="1827"/>
      <c r="AP34" s="1827"/>
      <c r="AQ34" s="1827"/>
      <c r="AR34" s="1827"/>
      <c r="AS34" s="1827"/>
      <c r="AT34" s="1827"/>
      <c r="AU34" s="1827"/>
      <c r="AV34" s="1827"/>
      <c r="AW34" s="1827"/>
      <c r="AX34" s="1827"/>
      <c r="AY34" s="1827"/>
      <c r="AZ34" s="1827"/>
      <c r="BA34" s="1827"/>
      <c r="BB34" s="1827"/>
      <c r="BC34" s="1827"/>
      <c r="BD34" s="1827"/>
      <c r="BE34" s="1827"/>
      <c r="BF34" s="1827"/>
      <c r="BG34" s="1827"/>
      <c r="BH34" s="1827"/>
      <c r="BI34" s="1827"/>
      <c r="BJ34" s="1827"/>
      <c r="BK34" s="1827"/>
      <c r="BL34" s="1827"/>
      <c r="BM34" s="1827"/>
      <c r="BN34" s="1827"/>
      <c r="BO34" s="1827"/>
      <c r="BP34" s="1827"/>
      <c r="BQ34" s="1827"/>
      <c r="BR34" s="1827"/>
      <c r="BS34" s="1827"/>
      <c r="BT34" s="1827"/>
      <c r="BU34" s="1827"/>
      <c r="BV34" s="1827"/>
      <c r="BW34" s="1827"/>
      <c r="BX34" s="1827"/>
      <c r="BY34" s="1827"/>
      <c r="BZ34" s="1827"/>
      <c r="CA34" s="1827"/>
      <c r="CB34" s="1827"/>
      <c r="CC34" s="1827"/>
      <c r="CD34" s="1827"/>
      <c r="CE34" s="1827"/>
      <c r="CF34" s="1827"/>
      <c r="CG34" s="1827"/>
      <c r="CH34" s="1827"/>
      <c r="CI34" s="1827"/>
      <c r="CJ34" s="1827"/>
      <c r="CK34" s="1827"/>
      <c r="CL34" s="1827"/>
      <c r="CM34" s="1827"/>
      <c r="CN34" s="1827"/>
      <c r="CO34" s="1827"/>
      <c r="CP34" s="1827"/>
      <c r="CQ34" s="1827"/>
      <c r="CR34" s="1827"/>
      <c r="CS34" s="1827"/>
      <c r="CT34" s="1827"/>
      <c r="CU34" s="1827"/>
      <c r="CV34" s="1827"/>
      <c r="CW34" s="1827"/>
      <c r="CX34" s="1827"/>
      <c r="CY34" s="1827"/>
      <c r="CZ34" s="1827"/>
      <c r="DA34" s="1827"/>
      <c r="DB34" s="1827"/>
      <c r="DC34" s="1827"/>
      <c r="DD34" s="1827"/>
      <c r="DE34" s="1827"/>
      <c r="DF34" s="1827"/>
      <c r="DG34" s="1827"/>
      <c r="DH34" s="1827"/>
      <c r="DI34" s="1827"/>
      <c r="DJ34" s="1827"/>
      <c r="DK34" s="1827"/>
      <c r="DL34" s="1827"/>
      <c r="DM34" s="1827"/>
      <c r="DN34" s="1827"/>
      <c r="DO34" s="1827"/>
      <c r="DP34" s="1827"/>
      <c r="DQ34" s="1827"/>
      <c r="DR34" s="1827"/>
      <c r="DS34" s="1827"/>
      <c r="DT34" s="1827"/>
      <c r="DU34" s="1827"/>
      <c r="DV34" s="1827"/>
      <c r="DW34" s="1827"/>
      <c r="DX34" s="1827"/>
      <c r="DY34" s="1827"/>
      <c r="DZ34" s="1827"/>
      <c r="EA34" s="1827"/>
      <c r="EB34" s="1827"/>
      <c r="EC34" s="1827"/>
      <c r="ED34" s="1827"/>
      <c r="EE34" s="1827"/>
      <c r="EF34" s="1827"/>
      <c r="EG34" s="1827"/>
      <c r="EH34" s="1827"/>
      <c r="EI34" s="1827"/>
      <c r="EJ34" s="1827"/>
      <c r="EK34" s="1827"/>
      <c r="EL34" s="1827"/>
      <c r="EM34" s="1827"/>
      <c r="EN34" s="1827"/>
      <c r="EO34" s="1827"/>
      <c r="EP34" s="1827"/>
      <c r="EQ34" s="1827"/>
      <c r="ER34" s="1827"/>
      <c r="ES34" s="1827"/>
      <c r="ET34" s="1827"/>
      <c r="EU34" s="1827"/>
      <c r="EV34" s="1827"/>
      <c r="EW34" s="1827"/>
      <c r="EX34" s="1827"/>
      <c r="EY34" s="1827"/>
      <c r="EZ34" s="1827"/>
      <c r="FA34" s="1827"/>
      <c r="FB34" s="1827"/>
      <c r="FC34" s="1827"/>
      <c r="FD34" s="1827"/>
      <c r="FE34" s="1827"/>
      <c r="FF34" s="1827"/>
      <c r="FG34" s="1827"/>
      <c r="FH34" s="1827"/>
      <c r="FI34" s="1827"/>
      <c r="FJ34" s="1827"/>
      <c r="FK34" s="1827"/>
      <c r="FL34" s="1827"/>
      <c r="FM34" s="1827"/>
      <c r="FN34" s="1827"/>
      <c r="FO34" s="1827"/>
      <c r="FP34" s="1827"/>
      <c r="FQ34" s="1827"/>
      <c r="FR34" s="1827"/>
      <c r="FS34" s="1827"/>
      <c r="FT34" s="1827"/>
      <c r="FU34" s="1827"/>
      <c r="FV34" s="1827"/>
      <c r="FW34" s="1827"/>
      <c r="FX34" s="1827"/>
      <c r="FY34" s="1827"/>
      <c r="FZ34" s="1827"/>
      <c r="GA34" s="1827"/>
      <c r="GB34" s="1827"/>
      <c r="GC34" s="1827"/>
      <c r="GD34" s="1827"/>
      <c r="GE34" s="1827"/>
      <c r="GF34" s="1827"/>
      <c r="GG34" s="1827"/>
      <c r="GH34" s="1827"/>
      <c r="GI34" s="1827"/>
      <c r="GJ34" s="1827"/>
      <c r="GK34" s="1827"/>
      <c r="GL34" s="1827"/>
      <c r="GM34" s="1827"/>
      <c r="GN34" s="1827"/>
      <c r="GO34" s="1827"/>
      <c r="GP34" s="1827"/>
      <c r="GQ34" s="1827"/>
      <c r="GR34" s="1827"/>
      <c r="GS34" s="1827"/>
      <c r="GT34" s="1827"/>
      <c r="GU34" s="1827"/>
      <c r="GV34" s="1827"/>
      <c r="GW34" s="1827"/>
      <c r="GX34" s="1827"/>
      <c r="GY34" s="1827"/>
      <c r="GZ34" s="1827"/>
      <c r="HA34" s="1827"/>
      <c r="HB34" s="1827"/>
      <c r="HC34" s="1827"/>
      <c r="HD34" s="1827"/>
      <c r="HE34" s="1827"/>
      <c r="HF34" s="1827"/>
      <c r="HG34" s="1827"/>
      <c r="HH34" s="1827"/>
      <c r="HI34" s="1827"/>
      <c r="HJ34" s="1827"/>
      <c r="HK34" s="1827"/>
      <c r="HL34" s="1827"/>
      <c r="HM34" s="1827"/>
      <c r="HN34" s="1827"/>
      <c r="HO34" s="1827"/>
      <c r="HP34" s="1827"/>
      <c r="HQ34" s="1827"/>
      <c r="HR34" s="1827"/>
      <c r="HS34" s="1827"/>
      <c r="HT34" s="1827"/>
      <c r="HU34" s="1827"/>
      <c r="HV34" s="1827"/>
      <c r="HW34" s="1827"/>
      <c r="HX34" s="1827"/>
      <c r="HY34" s="1827"/>
      <c r="HZ34" s="1827"/>
      <c r="IA34" s="1827"/>
      <c r="IB34" s="1827"/>
      <c r="IC34" s="1827"/>
      <c r="ID34" s="1827"/>
      <c r="IE34" s="1827"/>
      <c r="IF34" s="1827"/>
      <c r="IG34" s="1827"/>
      <c r="IH34" s="1827"/>
      <c r="II34" s="1827"/>
      <c r="IJ34" s="1827"/>
      <c r="IK34" s="1827"/>
      <c r="IL34" s="1827"/>
      <c r="IM34" s="1827"/>
      <c r="IN34" s="1827"/>
      <c r="IO34" s="1827"/>
      <c r="IP34" s="1827"/>
      <c r="IQ34" s="1827"/>
      <c r="IR34" s="1827"/>
      <c r="IS34" s="1827"/>
      <c r="IT34" s="1827"/>
      <c r="IU34" s="1827"/>
      <c r="IV34" s="1827"/>
    </row>
    <row r="35" spans="1:256" ht="13.5" thickTop="1">
      <c r="A35" s="1827"/>
      <c r="B35" s="1841"/>
      <c r="C35" s="1841"/>
      <c r="D35" s="1841"/>
      <c r="E35" s="1841"/>
      <c r="F35" s="1841"/>
      <c r="G35" s="1841"/>
      <c r="H35" s="1841"/>
      <c r="I35" s="1841"/>
      <c r="J35" s="1827"/>
      <c r="K35" s="1827"/>
      <c r="L35" s="1827"/>
      <c r="M35" s="1827"/>
      <c r="N35" s="1827"/>
      <c r="O35" s="1827"/>
      <c r="P35" s="1827"/>
      <c r="Q35" s="1827"/>
      <c r="R35" s="1827"/>
      <c r="S35" s="1827"/>
      <c r="T35" s="1827"/>
      <c r="U35" s="1827"/>
      <c r="V35" s="1827"/>
      <c r="W35" s="1827"/>
      <c r="X35" s="1827"/>
      <c r="Y35" s="1827"/>
      <c r="Z35" s="1827"/>
      <c r="AA35" s="1827"/>
      <c r="AB35" s="1827"/>
      <c r="AC35" s="1827"/>
      <c r="AD35" s="1827"/>
      <c r="AE35" s="1827"/>
      <c r="AF35" s="1827"/>
      <c r="AG35" s="1827"/>
      <c r="AH35" s="1827"/>
      <c r="AI35" s="1827"/>
      <c r="AJ35" s="1827"/>
      <c r="AK35" s="1827"/>
      <c r="AL35" s="1827"/>
      <c r="AM35" s="1827"/>
      <c r="AN35" s="1827"/>
      <c r="AO35" s="1827"/>
      <c r="AP35" s="1827"/>
      <c r="AQ35" s="1827"/>
      <c r="AR35" s="1827"/>
      <c r="AS35" s="1827"/>
      <c r="AT35" s="1827"/>
      <c r="AU35" s="1827"/>
      <c r="AV35" s="1827"/>
      <c r="AW35" s="1827"/>
      <c r="AX35" s="1827"/>
      <c r="AY35" s="1827"/>
      <c r="AZ35" s="1827"/>
      <c r="BA35" s="1827"/>
      <c r="BB35" s="1827"/>
      <c r="BC35" s="1827"/>
      <c r="BD35" s="1827"/>
      <c r="BE35" s="1827"/>
      <c r="BF35" s="1827"/>
      <c r="BG35" s="1827"/>
      <c r="BH35" s="1827"/>
      <c r="BI35" s="1827"/>
      <c r="BJ35" s="1827"/>
      <c r="BK35" s="1827"/>
      <c r="BL35" s="1827"/>
      <c r="BM35" s="1827"/>
      <c r="BN35" s="1827"/>
      <c r="BO35" s="1827"/>
      <c r="BP35" s="1827"/>
      <c r="BQ35" s="1827"/>
      <c r="BR35" s="1827"/>
      <c r="BS35" s="1827"/>
      <c r="BT35" s="1827"/>
      <c r="BU35" s="1827"/>
      <c r="BV35" s="1827"/>
      <c r="BW35" s="1827"/>
      <c r="BX35" s="1827"/>
      <c r="BY35" s="1827"/>
      <c r="BZ35" s="1827"/>
      <c r="CA35" s="1827"/>
      <c r="CB35" s="1827"/>
      <c r="CC35" s="1827"/>
      <c r="CD35" s="1827"/>
      <c r="CE35" s="1827"/>
      <c r="CF35" s="1827"/>
      <c r="CG35" s="1827"/>
      <c r="CH35" s="1827"/>
      <c r="CI35" s="1827"/>
      <c r="CJ35" s="1827"/>
      <c r="CK35" s="1827"/>
      <c r="CL35" s="1827"/>
      <c r="CM35" s="1827"/>
      <c r="CN35" s="1827"/>
      <c r="CO35" s="1827"/>
      <c r="CP35" s="1827"/>
      <c r="CQ35" s="1827"/>
      <c r="CR35" s="1827"/>
      <c r="CS35" s="1827"/>
      <c r="CT35" s="1827"/>
      <c r="CU35" s="1827"/>
      <c r="CV35" s="1827"/>
      <c r="CW35" s="1827"/>
      <c r="CX35" s="1827"/>
      <c r="CY35" s="1827"/>
      <c r="CZ35" s="1827"/>
      <c r="DA35" s="1827"/>
      <c r="DB35" s="1827"/>
      <c r="DC35" s="1827"/>
      <c r="DD35" s="1827"/>
      <c r="DE35" s="1827"/>
      <c r="DF35" s="1827"/>
      <c r="DG35" s="1827"/>
      <c r="DH35" s="1827"/>
      <c r="DI35" s="1827"/>
      <c r="DJ35" s="1827"/>
      <c r="DK35" s="1827"/>
      <c r="DL35" s="1827"/>
      <c r="DM35" s="1827"/>
      <c r="DN35" s="1827"/>
      <c r="DO35" s="1827"/>
      <c r="DP35" s="1827"/>
      <c r="DQ35" s="1827"/>
      <c r="DR35" s="1827"/>
      <c r="DS35" s="1827"/>
      <c r="DT35" s="1827"/>
      <c r="DU35" s="1827"/>
      <c r="DV35" s="1827"/>
      <c r="DW35" s="1827"/>
      <c r="DX35" s="1827"/>
      <c r="DY35" s="1827"/>
      <c r="DZ35" s="1827"/>
      <c r="EA35" s="1827"/>
      <c r="EB35" s="1827"/>
      <c r="EC35" s="1827"/>
      <c r="ED35" s="1827"/>
      <c r="EE35" s="1827"/>
      <c r="EF35" s="1827"/>
      <c r="EG35" s="1827"/>
      <c r="EH35" s="1827"/>
      <c r="EI35" s="1827"/>
      <c r="EJ35" s="1827"/>
      <c r="EK35" s="1827"/>
      <c r="EL35" s="1827"/>
      <c r="EM35" s="1827"/>
      <c r="EN35" s="1827"/>
      <c r="EO35" s="1827"/>
      <c r="EP35" s="1827"/>
      <c r="EQ35" s="1827"/>
      <c r="ER35" s="1827"/>
      <c r="ES35" s="1827"/>
      <c r="ET35" s="1827"/>
      <c r="EU35" s="1827"/>
      <c r="EV35" s="1827"/>
      <c r="EW35" s="1827"/>
      <c r="EX35" s="1827"/>
      <c r="EY35" s="1827"/>
      <c r="EZ35" s="1827"/>
      <c r="FA35" s="1827"/>
      <c r="FB35" s="1827"/>
      <c r="FC35" s="1827"/>
      <c r="FD35" s="1827"/>
      <c r="FE35" s="1827"/>
      <c r="FF35" s="1827"/>
      <c r="FG35" s="1827"/>
      <c r="FH35" s="1827"/>
      <c r="FI35" s="1827"/>
      <c r="FJ35" s="1827"/>
      <c r="FK35" s="1827"/>
      <c r="FL35" s="1827"/>
      <c r="FM35" s="1827"/>
      <c r="FN35" s="1827"/>
      <c r="FO35" s="1827"/>
      <c r="FP35" s="1827"/>
      <c r="FQ35" s="1827"/>
      <c r="FR35" s="1827"/>
      <c r="FS35" s="1827"/>
      <c r="FT35" s="1827"/>
      <c r="FU35" s="1827"/>
      <c r="FV35" s="1827"/>
      <c r="FW35" s="1827"/>
      <c r="FX35" s="1827"/>
      <c r="FY35" s="1827"/>
      <c r="FZ35" s="1827"/>
      <c r="GA35" s="1827"/>
      <c r="GB35" s="1827"/>
      <c r="GC35" s="1827"/>
      <c r="GD35" s="1827"/>
      <c r="GE35" s="1827"/>
      <c r="GF35" s="1827"/>
      <c r="GG35" s="1827"/>
      <c r="GH35" s="1827"/>
      <c r="GI35" s="1827"/>
      <c r="GJ35" s="1827"/>
      <c r="GK35" s="1827"/>
      <c r="GL35" s="1827"/>
      <c r="GM35" s="1827"/>
      <c r="GN35" s="1827"/>
      <c r="GO35" s="1827"/>
      <c r="GP35" s="1827"/>
      <c r="GQ35" s="1827"/>
      <c r="GR35" s="1827"/>
      <c r="GS35" s="1827"/>
      <c r="GT35" s="1827"/>
      <c r="GU35" s="1827"/>
      <c r="GV35" s="1827"/>
      <c r="GW35" s="1827"/>
      <c r="GX35" s="1827"/>
      <c r="GY35" s="1827"/>
      <c r="GZ35" s="1827"/>
      <c r="HA35" s="1827"/>
      <c r="HB35" s="1827"/>
      <c r="HC35" s="1827"/>
      <c r="HD35" s="1827"/>
      <c r="HE35" s="1827"/>
      <c r="HF35" s="1827"/>
      <c r="HG35" s="1827"/>
      <c r="HH35" s="1827"/>
      <c r="HI35" s="1827"/>
      <c r="HJ35" s="1827"/>
      <c r="HK35" s="1827"/>
      <c r="HL35" s="1827"/>
      <c r="HM35" s="1827"/>
      <c r="HN35" s="1827"/>
      <c r="HO35" s="1827"/>
      <c r="HP35" s="1827"/>
      <c r="HQ35" s="1827"/>
      <c r="HR35" s="1827"/>
      <c r="HS35" s="1827"/>
      <c r="HT35" s="1827"/>
      <c r="HU35" s="1827"/>
      <c r="HV35" s="1827"/>
      <c r="HW35" s="1827"/>
      <c r="HX35" s="1827"/>
      <c r="HY35" s="1827"/>
      <c r="HZ35" s="1827"/>
      <c r="IA35" s="1827"/>
      <c r="IB35" s="1827"/>
      <c r="IC35" s="1827"/>
      <c r="ID35" s="1827"/>
      <c r="IE35" s="1827"/>
      <c r="IF35" s="1827"/>
      <c r="IG35" s="1827"/>
      <c r="IH35" s="1827"/>
      <c r="II35" s="1827"/>
      <c r="IJ35" s="1827"/>
      <c r="IK35" s="1827"/>
      <c r="IL35" s="1827"/>
      <c r="IM35" s="1827"/>
      <c r="IN35" s="1827"/>
      <c r="IO35" s="1827"/>
      <c r="IP35" s="1827"/>
      <c r="IQ35" s="1827"/>
      <c r="IR35" s="1827"/>
      <c r="IS35" s="1827"/>
      <c r="IT35" s="1827"/>
      <c r="IU35" s="1827"/>
      <c r="IV35" s="1827"/>
    </row>
    <row r="36" spans="1:256">
      <c r="A36" s="1830" t="s">
        <v>872</v>
      </c>
      <c r="B36" s="1829"/>
      <c r="C36" s="1827"/>
      <c r="D36" s="1829"/>
      <c r="E36" s="2564" t="s">
        <v>347</v>
      </c>
      <c r="F36" s="2564"/>
      <c r="G36" s="1829"/>
      <c r="H36" s="1829"/>
      <c r="I36" s="1829"/>
      <c r="J36" s="1827"/>
      <c r="K36" s="1827"/>
      <c r="L36" s="1827"/>
      <c r="M36" s="1827"/>
      <c r="N36" s="1827"/>
      <c r="O36" s="1827"/>
      <c r="P36" s="1827"/>
      <c r="Q36" s="1827"/>
      <c r="R36" s="1827"/>
      <c r="S36" s="1827"/>
      <c r="T36" s="1827"/>
      <c r="U36" s="1827"/>
      <c r="V36" s="1827"/>
      <c r="W36" s="1827"/>
      <c r="X36" s="1827"/>
      <c r="Y36" s="1827"/>
      <c r="Z36" s="1827"/>
      <c r="AA36" s="1827"/>
      <c r="AB36" s="1827"/>
      <c r="AC36" s="1827"/>
      <c r="AD36" s="1827"/>
      <c r="AE36" s="1827"/>
      <c r="AF36" s="1827"/>
      <c r="AG36" s="1827"/>
      <c r="AH36" s="1827"/>
      <c r="AI36" s="1827"/>
      <c r="AJ36" s="1827"/>
      <c r="AK36" s="1827"/>
      <c r="AL36" s="1827"/>
      <c r="AM36" s="1827"/>
      <c r="AN36" s="1827"/>
      <c r="AO36" s="1827"/>
      <c r="AP36" s="1827"/>
      <c r="AQ36" s="1827"/>
      <c r="AR36" s="1827"/>
      <c r="AS36" s="1827"/>
      <c r="AT36" s="1827"/>
      <c r="AU36" s="1827"/>
      <c r="AV36" s="1827"/>
      <c r="AW36" s="1827"/>
      <c r="AX36" s="1827"/>
      <c r="AY36" s="1827"/>
      <c r="AZ36" s="1827"/>
      <c r="BA36" s="1827"/>
      <c r="BB36" s="1827"/>
      <c r="BC36" s="1827"/>
      <c r="BD36" s="1827"/>
      <c r="BE36" s="1827"/>
      <c r="BF36" s="1827"/>
      <c r="BG36" s="1827"/>
      <c r="BH36" s="1827"/>
      <c r="BI36" s="1827"/>
      <c r="BJ36" s="1827"/>
      <c r="BK36" s="1827"/>
      <c r="BL36" s="1827"/>
      <c r="BM36" s="1827"/>
      <c r="BN36" s="1827"/>
      <c r="BO36" s="1827"/>
      <c r="BP36" s="1827"/>
      <c r="BQ36" s="1827"/>
      <c r="BR36" s="1827"/>
      <c r="BS36" s="1827"/>
      <c r="BT36" s="1827"/>
      <c r="BU36" s="1827"/>
      <c r="BV36" s="1827"/>
      <c r="BW36" s="1827"/>
      <c r="BX36" s="1827"/>
      <c r="BY36" s="1827"/>
      <c r="BZ36" s="1827"/>
      <c r="CA36" s="1827"/>
      <c r="CB36" s="1827"/>
      <c r="CC36" s="1827"/>
      <c r="CD36" s="1827"/>
      <c r="CE36" s="1827"/>
      <c r="CF36" s="1827"/>
      <c r="CG36" s="1827"/>
      <c r="CH36" s="1827"/>
      <c r="CI36" s="1827"/>
      <c r="CJ36" s="1827"/>
      <c r="CK36" s="1827"/>
      <c r="CL36" s="1827"/>
      <c r="CM36" s="1827"/>
      <c r="CN36" s="1827"/>
      <c r="CO36" s="1827"/>
      <c r="CP36" s="1827"/>
      <c r="CQ36" s="1827"/>
      <c r="CR36" s="1827"/>
      <c r="CS36" s="1827"/>
      <c r="CT36" s="1827"/>
      <c r="CU36" s="1827"/>
      <c r="CV36" s="1827"/>
      <c r="CW36" s="1827"/>
      <c r="CX36" s="1827"/>
      <c r="CY36" s="1827"/>
      <c r="CZ36" s="1827"/>
      <c r="DA36" s="1827"/>
      <c r="DB36" s="1827"/>
      <c r="DC36" s="1827"/>
      <c r="DD36" s="1827"/>
      <c r="DE36" s="1827"/>
      <c r="DF36" s="1827"/>
      <c r="DG36" s="1827"/>
      <c r="DH36" s="1827"/>
      <c r="DI36" s="1827"/>
      <c r="DJ36" s="1827"/>
      <c r="DK36" s="1827"/>
      <c r="DL36" s="1827"/>
      <c r="DM36" s="1827"/>
      <c r="DN36" s="1827"/>
      <c r="DO36" s="1827"/>
      <c r="DP36" s="1827"/>
      <c r="DQ36" s="1827"/>
      <c r="DR36" s="1827"/>
      <c r="DS36" s="1827"/>
      <c r="DT36" s="1827"/>
      <c r="DU36" s="1827"/>
      <c r="DV36" s="1827"/>
      <c r="DW36" s="1827"/>
      <c r="DX36" s="1827"/>
      <c r="DY36" s="1827"/>
      <c r="DZ36" s="1827"/>
      <c r="EA36" s="1827"/>
      <c r="EB36" s="1827"/>
      <c r="EC36" s="1827"/>
      <c r="ED36" s="1827"/>
      <c r="EE36" s="1827"/>
      <c r="EF36" s="1827"/>
      <c r="EG36" s="1827"/>
      <c r="EH36" s="1827"/>
      <c r="EI36" s="1827"/>
      <c r="EJ36" s="1827"/>
      <c r="EK36" s="1827"/>
      <c r="EL36" s="1827"/>
      <c r="EM36" s="1827"/>
      <c r="EN36" s="1827"/>
      <c r="EO36" s="1827"/>
      <c r="EP36" s="1827"/>
      <c r="EQ36" s="1827"/>
      <c r="ER36" s="1827"/>
      <c r="ES36" s="1827"/>
      <c r="ET36" s="1827"/>
      <c r="EU36" s="1827"/>
      <c r="EV36" s="1827"/>
      <c r="EW36" s="1827"/>
      <c r="EX36" s="1827"/>
      <c r="EY36" s="1827"/>
      <c r="EZ36" s="1827"/>
      <c r="FA36" s="1827"/>
      <c r="FB36" s="1827"/>
      <c r="FC36" s="1827"/>
      <c r="FD36" s="1827"/>
      <c r="FE36" s="1827"/>
      <c r="FF36" s="1827"/>
      <c r="FG36" s="1827"/>
      <c r="FH36" s="1827"/>
      <c r="FI36" s="1827"/>
      <c r="FJ36" s="1827"/>
      <c r="FK36" s="1827"/>
      <c r="FL36" s="1827"/>
      <c r="FM36" s="1827"/>
      <c r="FN36" s="1827"/>
      <c r="FO36" s="1827"/>
      <c r="FP36" s="1827"/>
      <c r="FQ36" s="1827"/>
      <c r="FR36" s="1827"/>
      <c r="FS36" s="1827"/>
      <c r="FT36" s="1827"/>
      <c r="FU36" s="1827"/>
      <c r="FV36" s="1827"/>
      <c r="FW36" s="1827"/>
      <c r="FX36" s="1827"/>
      <c r="FY36" s="1827"/>
      <c r="FZ36" s="1827"/>
      <c r="GA36" s="1827"/>
      <c r="GB36" s="1827"/>
      <c r="GC36" s="1827"/>
      <c r="GD36" s="1827"/>
      <c r="GE36" s="1827"/>
      <c r="GF36" s="1827"/>
      <c r="GG36" s="1827"/>
      <c r="GH36" s="1827"/>
      <c r="GI36" s="1827"/>
      <c r="GJ36" s="1827"/>
      <c r="GK36" s="1827"/>
      <c r="GL36" s="1827"/>
      <c r="GM36" s="1827"/>
      <c r="GN36" s="1827"/>
      <c r="GO36" s="1827"/>
      <c r="GP36" s="1827"/>
      <c r="GQ36" s="1827"/>
      <c r="GR36" s="1827"/>
      <c r="GS36" s="1827"/>
      <c r="GT36" s="1827"/>
      <c r="GU36" s="1827"/>
      <c r="GV36" s="1827"/>
      <c r="GW36" s="1827"/>
      <c r="GX36" s="1827"/>
      <c r="GY36" s="1827"/>
      <c r="GZ36" s="1827"/>
      <c r="HA36" s="1827"/>
      <c r="HB36" s="1827"/>
      <c r="HC36" s="1827"/>
      <c r="HD36" s="1827"/>
      <c r="HE36" s="1827"/>
      <c r="HF36" s="1827"/>
      <c r="HG36" s="1827"/>
      <c r="HH36" s="1827"/>
      <c r="HI36" s="1827"/>
      <c r="HJ36" s="1827"/>
      <c r="HK36" s="1827"/>
      <c r="HL36" s="1827"/>
      <c r="HM36" s="1827"/>
      <c r="HN36" s="1827"/>
      <c r="HO36" s="1827"/>
      <c r="HP36" s="1827"/>
      <c r="HQ36" s="1827"/>
      <c r="HR36" s="1827"/>
      <c r="HS36" s="1827"/>
      <c r="HT36" s="1827"/>
      <c r="HU36" s="1827"/>
      <c r="HV36" s="1827"/>
      <c r="HW36" s="1827"/>
      <c r="HX36" s="1827"/>
      <c r="HY36" s="1827"/>
      <c r="HZ36" s="1827"/>
      <c r="IA36" s="1827"/>
      <c r="IB36" s="1827"/>
      <c r="IC36" s="1827"/>
      <c r="ID36" s="1827"/>
      <c r="IE36" s="1827"/>
      <c r="IF36" s="1827"/>
      <c r="IG36" s="1827"/>
      <c r="IH36" s="1827"/>
      <c r="II36" s="1827"/>
      <c r="IJ36" s="1827"/>
      <c r="IK36" s="1827"/>
      <c r="IL36" s="1827"/>
      <c r="IM36" s="1827"/>
      <c r="IN36" s="1827"/>
      <c r="IO36" s="1827"/>
      <c r="IP36" s="1827"/>
      <c r="IQ36" s="1827"/>
      <c r="IR36" s="1827"/>
      <c r="IS36" s="1827"/>
      <c r="IT36" s="1827"/>
      <c r="IU36" s="1827"/>
      <c r="IV36" s="1827"/>
    </row>
    <row r="37" spans="1:256">
      <c r="A37" s="1831">
        <f>+A34+1</f>
        <v>20</v>
      </c>
      <c r="B37" s="1832" t="s">
        <v>1092</v>
      </c>
      <c r="C37" s="1832"/>
      <c r="D37" s="1832"/>
      <c r="E37" s="1832" t="s">
        <v>526</v>
      </c>
      <c r="F37" s="1829"/>
      <c r="G37" s="1827"/>
      <c r="H37" s="964">
        <v>0</v>
      </c>
      <c r="I37" s="1829"/>
      <c r="J37" s="1827"/>
      <c r="K37" s="1827"/>
      <c r="L37" s="1827"/>
      <c r="M37" s="1827"/>
      <c r="N37" s="1827"/>
      <c r="O37" s="1827"/>
      <c r="P37" s="1827"/>
      <c r="Q37" s="1827"/>
      <c r="R37" s="1827"/>
      <c r="S37" s="1827"/>
      <c r="T37" s="1827"/>
      <c r="U37" s="1827"/>
      <c r="V37" s="1827"/>
      <c r="W37" s="1827"/>
      <c r="X37" s="1827"/>
      <c r="Y37" s="1827"/>
      <c r="Z37" s="1827"/>
      <c r="AA37" s="1827"/>
      <c r="AB37" s="1827"/>
      <c r="AC37" s="1827"/>
      <c r="AD37" s="1827"/>
      <c r="AE37" s="1827"/>
      <c r="AF37" s="1827"/>
      <c r="AG37" s="1827"/>
      <c r="AH37" s="1827"/>
      <c r="AI37" s="1827"/>
      <c r="AJ37" s="1827"/>
      <c r="AK37" s="1827"/>
      <c r="AL37" s="1827"/>
      <c r="AM37" s="1827"/>
      <c r="AN37" s="1827"/>
      <c r="AO37" s="1827"/>
      <c r="AP37" s="1827"/>
      <c r="AQ37" s="1827"/>
      <c r="AR37" s="1827"/>
      <c r="AS37" s="1827"/>
      <c r="AT37" s="1827"/>
      <c r="AU37" s="1827"/>
      <c r="AV37" s="1827"/>
      <c r="AW37" s="1827"/>
      <c r="AX37" s="1827"/>
      <c r="AY37" s="1827"/>
      <c r="AZ37" s="1827"/>
      <c r="BA37" s="1827"/>
      <c r="BB37" s="1827"/>
      <c r="BC37" s="1827"/>
      <c r="BD37" s="1827"/>
      <c r="BE37" s="1827"/>
      <c r="BF37" s="1827"/>
      <c r="BG37" s="1827"/>
      <c r="BH37" s="1827"/>
      <c r="BI37" s="1827"/>
      <c r="BJ37" s="1827"/>
      <c r="BK37" s="1827"/>
      <c r="BL37" s="1827"/>
      <c r="BM37" s="1827"/>
      <c r="BN37" s="1827"/>
      <c r="BO37" s="1827"/>
      <c r="BP37" s="1827"/>
      <c r="BQ37" s="1827"/>
      <c r="BR37" s="1827"/>
      <c r="BS37" s="1827"/>
      <c r="BT37" s="1827"/>
      <c r="BU37" s="1827"/>
      <c r="BV37" s="1827"/>
      <c r="BW37" s="1827"/>
      <c r="BX37" s="1827"/>
      <c r="BY37" s="1827"/>
      <c r="BZ37" s="1827"/>
      <c r="CA37" s="1827"/>
      <c r="CB37" s="1827"/>
      <c r="CC37" s="1827"/>
      <c r="CD37" s="1827"/>
      <c r="CE37" s="1827"/>
      <c r="CF37" s="1827"/>
      <c r="CG37" s="1827"/>
      <c r="CH37" s="1827"/>
      <c r="CI37" s="1827"/>
      <c r="CJ37" s="1827"/>
      <c r="CK37" s="1827"/>
      <c r="CL37" s="1827"/>
      <c r="CM37" s="1827"/>
      <c r="CN37" s="1827"/>
      <c r="CO37" s="1827"/>
      <c r="CP37" s="1827"/>
      <c r="CQ37" s="1827"/>
      <c r="CR37" s="1827"/>
      <c r="CS37" s="1827"/>
      <c r="CT37" s="1827"/>
      <c r="CU37" s="1827"/>
      <c r="CV37" s="1827"/>
      <c r="CW37" s="1827"/>
      <c r="CX37" s="1827"/>
      <c r="CY37" s="1827"/>
      <c r="CZ37" s="1827"/>
      <c r="DA37" s="1827"/>
      <c r="DB37" s="1827"/>
      <c r="DC37" s="1827"/>
      <c r="DD37" s="1827"/>
      <c r="DE37" s="1827"/>
      <c r="DF37" s="1827"/>
      <c r="DG37" s="1827"/>
      <c r="DH37" s="1827"/>
      <c r="DI37" s="1827"/>
      <c r="DJ37" s="1827"/>
      <c r="DK37" s="1827"/>
      <c r="DL37" s="1827"/>
      <c r="DM37" s="1827"/>
      <c r="DN37" s="1827"/>
      <c r="DO37" s="1827"/>
      <c r="DP37" s="1827"/>
      <c r="DQ37" s="1827"/>
      <c r="DR37" s="1827"/>
      <c r="DS37" s="1827"/>
      <c r="DT37" s="1827"/>
      <c r="DU37" s="1827"/>
      <c r="DV37" s="1827"/>
      <c r="DW37" s="1827"/>
      <c r="DX37" s="1827"/>
      <c r="DY37" s="1827"/>
      <c r="DZ37" s="1827"/>
      <c r="EA37" s="1827"/>
      <c r="EB37" s="1827"/>
      <c r="EC37" s="1827"/>
      <c r="ED37" s="1827"/>
      <c r="EE37" s="1827"/>
      <c r="EF37" s="1827"/>
      <c r="EG37" s="1827"/>
      <c r="EH37" s="1827"/>
      <c r="EI37" s="1827"/>
      <c r="EJ37" s="1827"/>
      <c r="EK37" s="1827"/>
      <c r="EL37" s="1827"/>
      <c r="EM37" s="1827"/>
      <c r="EN37" s="1827"/>
      <c r="EO37" s="1827"/>
      <c r="EP37" s="1827"/>
      <c r="EQ37" s="1827"/>
      <c r="ER37" s="1827"/>
      <c r="ES37" s="1827"/>
      <c r="ET37" s="1827"/>
      <c r="EU37" s="1827"/>
      <c r="EV37" s="1827"/>
      <c r="EW37" s="1827"/>
      <c r="EX37" s="1827"/>
      <c r="EY37" s="1827"/>
      <c r="EZ37" s="1827"/>
      <c r="FA37" s="1827"/>
      <c r="FB37" s="1827"/>
      <c r="FC37" s="1827"/>
      <c r="FD37" s="1827"/>
      <c r="FE37" s="1827"/>
      <c r="FF37" s="1827"/>
      <c r="FG37" s="1827"/>
      <c r="FH37" s="1827"/>
      <c r="FI37" s="1827"/>
      <c r="FJ37" s="1827"/>
      <c r="FK37" s="1827"/>
      <c r="FL37" s="1827"/>
      <c r="FM37" s="1827"/>
      <c r="FN37" s="1827"/>
      <c r="FO37" s="1827"/>
      <c r="FP37" s="1827"/>
      <c r="FQ37" s="1827"/>
      <c r="FR37" s="1827"/>
      <c r="FS37" s="1827"/>
      <c r="FT37" s="1827"/>
      <c r="FU37" s="1827"/>
      <c r="FV37" s="1827"/>
      <c r="FW37" s="1827"/>
      <c r="FX37" s="1827"/>
      <c r="FY37" s="1827"/>
      <c r="FZ37" s="1827"/>
      <c r="GA37" s="1827"/>
      <c r="GB37" s="1827"/>
      <c r="GC37" s="1827"/>
      <c r="GD37" s="1827"/>
      <c r="GE37" s="1827"/>
      <c r="GF37" s="1827"/>
      <c r="GG37" s="1827"/>
      <c r="GH37" s="1827"/>
      <c r="GI37" s="1827"/>
      <c r="GJ37" s="1827"/>
      <c r="GK37" s="1827"/>
      <c r="GL37" s="1827"/>
      <c r="GM37" s="1827"/>
      <c r="GN37" s="1827"/>
      <c r="GO37" s="1827"/>
      <c r="GP37" s="1827"/>
      <c r="GQ37" s="1827"/>
      <c r="GR37" s="1827"/>
      <c r="GS37" s="1827"/>
      <c r="GT37" s="1827"/>
      <c r="GU37" s="1827"/>
      <c r="GV37" s="1827"/>
      <c r="GW37" s="1827"/>
      <c r="GX37" s="1827"/>
      <c r="GY37" s="1827"/>
      <c r="GZ37" s="1827"/>
      <c r="HA37" s="1827"/>
      <c r="HB37" s="1827"/>
      <c r="HC37" s="1827"/>
      <c r="HD37" s="1827"/>
      <c r="HE37" s="1827"/>
      <c r="HF37" s="1827"/>
      <c r="HG37" s="1827"/>
      <c r="HH37" s="1827"/>
      <c r="HI37" s="1827"/>
      <c r="HJ37" s="1827"/>
      <c r="HK37" s="1827"/>
      <c r="HL37" s="1827"/>
      <c r="HM37" s="1827"/>
      <c r="HN37" s="1827"/>
      <c r="HO37" s="1827"/>
      <c r="HP37" s="1827"/>
      <c r="HQ37" s="1827"/>
      <c r="HR37" s="1827"/>
      <c r="HS37" s="1827"/>
      <c r="HT37" s="1827"/>
      <c r="HU37" s="1827"/>
      <c r="HV37" s="1827"/>
      <c r="HW37" s="1827"/>
      <c r="HX37" s="1827"/>
      <c r="HY37" s="1827"/>
      <c r="HZ37" s="1827"/>
      <c r="IA37" s="1827"/>
      <c r="IB37" s="1827"/>
      <c r="IC37" s="1827"/>
      <c r="ID37" s="1827"/>
      <c r="IE37" s="1827"/>
      <c r="IF37" s="1827"/>
      <c r="IG37" s="1827"/>
      <c r="IH37" s="1827"/>
      <c r="II37" s="1827"/>
      <c r="IJ37" s="1827"/>
      <c r="IK37" s="1827"/>
      <c r="IL37" s="1827"/>
      <c r="IM37" s="1827"/>
      <c r="IN37" s="1827"/>
      <c r="IO37" s="1827"/>
      <c r="IP37" s="1827"/>
      <c r="IQ37" s="1827"/>
      <c r="IR37" s="1827"/>
      <c r="IS37" s="1827"/>
      <c r="IT37" s="1827"/>
      <c r="IU37" s="1827"/>
      <c r="IV37" s="1827"/>
    </row>
    <row r="38" spans="1:256">
      <c r="A38" s="1831">
        <f>+A37+1</f>
        <v>21</v>
      </c>
      <c r="B38" s="1832" t="s">
        <v>1093</v>
      </c>
      <c r="C38" s="1832"/>
      <c r="D38" s="1832"/>
      <c r="E38" s="1832" t="s">
        <v>527</v>
      </c>
      <c r="F38" s="1829"/>
      <c r="G38" s="1827"/>
      <c r="H38" s="964">
        <v>0</v>
      </c>
      <c r="I38" s="1829"/>
      <c r="J38" s="1827"/>
      <c r="K38" s="1827"/>
      <c r="L38" s="1827"/>
      <c r="M38" s="1827"/>
      <c r="N38" s="1827"/>
      <c r="O38" s="1827"/>
      <c r="P38" s="1827"/>
      <c r="Q38" s="1827"/>
      <c r="R38" s="1827"/>
      <c r="S38" s="1827"/>
      <c r="T38" s="1827"/>
      <c r="U38" s="1827"/>
      <c r="V38" s="1827"/>
      <c r="W38" s="1827"/>
      <c r="X38" s="1827"/>
      <c r="Y38" s="1827"/>
      <c r="Z38" s="1827"/>
      <c r="AA38" s="1827"/>
      <c r="AB38" s="1827"/>
      <c r="AC38" s="1827"/>
      <c r="AD38" s="1827"/>
      <c r="AE38" s="1827"/>
      <c r="AF38" s="1827"/>
      <c r="AG38" s="1827"/>
      <c r="AH38" s="1827"/>
      <c r="AI38" s="1827"/>
      <c r="AJ38" s="1827"/>
      <c r="AK38" s="1827"/>
      <c r="AL38" s="1827"/>
      <c r="AM38" s="1827"/>
      <c r="AN38" s="1827"/>
      <c r="AO38" s="1827"/>
      <c r="AP38" s="1827"/>
      <c r="AQ38" s="1827"/>
      <c r="AR38" s="1827"/>
      <c r="AS38" s="1827"/>
      <c r="AT38" s="1827"/>
      <c r="AU38" s="1827"/>
      <c r="AV38" s="1827"/>
      <c r="AW38" s="1827"/>
      <c r="AX38" s="1827"/>
      <c r="AY38" s="1827"/>
      <c r="AZ38" s="1827"/>
      <c r="BA38" s="1827"/>
      <c r="BB38" s="1827"/>
      <c r="BC38" s="1827"/>
      <c r="BD38" s="1827"/>
      <c r="BE38" s="1827"/>
      <c r="BF38" s="1827"/>
      <c r="BG38" s="1827"/>
      <c r="BH38" s="1827"/>
      <c r="BI38" s="1827"/>
      <c r="BJ38" s="1827"/>
      <c r="BK38" s="1827"/>
      <c r="BL38" s="1827"/>
      <c r="BM38" s="1827"/>
      <c r="BN38" s="1827"/>
      <c r="BO38" s="1827"/>
      <c r="BP38" s="1827"/>
      <c r="BQ38" s="1827"/>
      <c r="BR38" s="1827"/>
      <c r="BS38" s="1827"/>
      <c r="BT38" s="1827"/>
      <c r="BU38" s="1827"/>
      <c r="BV38" s="1827"/>
      <c r="BW38" s="1827"/>
      <c r="BX38" s="1827"/>
      <c r="BY38" s="1827"/>
      <c r="BZ38" s="1827"/>
      <c r="CA38" s="1827"/>
      <c r="CB38" s="1827"/>
      <c r="CC38" s="1827"/>
      <c r="CD38" s="1827"/>
      <c r="CE38" s="1827"/>
      <c r="CF38" s="1827"/>
      <c r="CG38" s="1827"/>
      <c r="CH38" s="1827"/>
      <c r="CI38" s="1827"/>
      <c r="CJ38" s="1827"/>
      <c r="CK38" s="1827"/>
      <c r="CL38" s="1827"/>
      <c r="CM38" s="1827"/>
      <c r="CN38" s="1827"/>
      <c r="CO38" s="1827"/>
      <c r="CP38" s="1827"/>
      <c r="CQ38" s="1827"/>
      <c r="CR38" s="1827"/>
      <c r="CS38" s="1827"/>
      <c r="CT38" s="1827"/>
      <c r="CU38" s="1827"/>
      <c r="CV38" s="1827"/>
      <c r="CW38" s="1827"/>
      <c r="CX38" s="1827"/>
      <c r="CY38" s="1827"/>
      <c r="CZ38" s="1827"/>
      <c r="DA38" s="1827"/>
      <c r="DB38" s="1827"/>
      <c r="DC38" s="1827"/>
      <c r="DD38" s="1827"/>
      <c r="DE38" s="1827"/>
      <c r="DF38" s="1827"/>
      <c r="DG38" s="1827"/>
      <c r="DH38" s="1827"/>
      <c r="DI38" s="1827"/>
      <c r="DJ38" s="1827"/>
      <c r="DK38" s="1827"/>
      <c r="DL38" s="1827"/>
      <c r="DM38" s="1827"/>
      <c r="DN38" s="1827"/>
      <c r="DO38" s="1827"/>
      <c r="DP38" s="1827"/>
      <c r="DQ38" s="1827"/>
      <c r="DR38" s="1827"/>
      <c r="DS38" s="1827"/>
      <c r="DT38" s="1827"/>
      <c r="DU38" s="1827"/>
      <c r="DV38" s="1827"/>
      <c r="DW38" s="1827"/>
      <c r="DX38" s="1827"/>
      <c r="DY38" s="1827"/>
      <c r="DZ38" s="1827"/>
      <c r="EA38" s="1827"/>
      <c r="EB38" s="1827"/>
      <c r="EC38" s="1827"/>
      <c r="ED38" s="1827"/>
      <c r="EE38" s="1827"/>
      <c r="EF38" s="1827"/>
      <c r="EG38" s="1827"/>
      <c r="EH38" s="1827"/>
      <c r="EI38" s="1827"/>
      <c r="EJ38" s="1827"/>
      <c r="EK38" s="1827"/>
      <c r="EL38" s="1827"/>
      <c r="EM38" s="1827"/>
      <c r="EN38" s="1827"/>
      <c r="EO38" s="1827"/>
      <c r="EP38" s="1827"/>
      <c r="EQ38" s="1827"/>
      <c r="ER38" s="1827"/>
      <c r="ES38" s="1827"/>
      <c r="ET38" s="1827"/>
      <c r="EU38" s="1827"/>
      <c r="EV38" s="1827"/>
      <c r="EW38" s="1827"/>
      <c r="EX38" s="1827"/>
      <c r="EY38" s="1827"/>
      <c r="EZ38" s="1827"/>
      <c r="FA38" s="1827"/>
      <c r="FB38" s="1827"/>
      <c r="FC38" s="1827"/>
      <c r="FD38" s="1827"/>
      <c r="FE38" s="1827"/>
      <c r="FF38" s="1827"/>
      <c r="FG38" s="1827"/>
      <c r="FH38" s="1827"/>
      <c r="FI38" s="1827"/>
      <c r="FJ38" s="1827"/>
      <c r="FK38" s="1827"/>
      <c r="FL38" s="1827"/>
      <c r="FM38" s="1827"/>
      <c r="FN38" s="1827"/>
      <c r="FO38" s="1827"/>
      <c r="FP38" s="1827"/>
      <c r="FQ38" s="1827"/>
      <c r="FR38" s="1827"/>
      <c r="FS38" s="1827"/>
      <c r="FT38" s="1827"/>
      <c r="FU38" s="1827"/>
      <c r="FV38" s="1827"/>
      <c r="FW38" s="1827"/>
      <c r="FX38" s="1827"/>
      <c r="FY38" s="1827"/>
      <c r="FZ38" s="1827"/>
      <c r="GA38" s="1827"/>
      <c r="GB38" s="1827"/>
      <c r="GC38" s="1827"/>
      <c r="GD38" s="1827"/>
      <c r="GE38" s="1827"/>
      <c r="GF38" s="1827"/>
      <c r="GG38" s="1827"/>
      <c r="GH38" s="1827"/>
      <c r="GI38" s="1827"/>
      <c r="GJ38" s="1827"/>
      <c r="GK38" s="1827"/>
      <c r="GL38" s="1827"/>
      <c r="GM38" s="1827"/>
      <c r="GN38" s="1827"/>
      <c r="GO38" s="1827"/>
      <c r="GP38" s="1827"/>
      <c r="GQ38" s="1827"/>
      <c r="GR38" s="1827"/>
      <c r="GS38" s="1827"/>
      <c r="GT38" s="1827"/>
      <c r="GU38" s="1827"/>
      <c r="GV38" s="1827"/>
      <c r="GW38" s="1827"/>
      <c r="GX38" s="1827"/>
      <c r="GY38" s="1827"/>
      <c r="GZ38" s="1827"/>
      <c r="HA38" s="1827"/>
      <c r="HB38" s="1827"/>
      <c r="HC38" s="1827"/>
      <c r="HD38" s="1827"/>
      <c r="HE38" s="1827"/>
      <c r="HF38" s="1827"/>
      <c r="HG38" s="1827"/>
      <c r="HH38" s="1827"/>
      <c r="HI38" s="1827"/>
      <c r="HJ38" s="1827"/>
      <c r="HK38" s="1827"/>
      <c r="HL38" s="1827"/>
      <c r="HM38" s="1827"/>
      <c r="HN38" s="1827"/>
      <c r="HO38" s="1827"/>
      <c r="HP38" s="1827"/>
      <c r="HQ38" s="1827"/>
      <c r="HR38" s="1827"/>
      <c r="HS38" s="1827"/>
      <c r="HT38" s="1827"/>
      <c r="HU38" s="1827"/>
      <c r="HV38" s="1827"/>
      <c r="HW38" s="1827"/>
      <c r="HX38" s="1827"/>
      <c r="HY38" s="1827"/>
      <c r="HZ38" s="1827"/>
      <c r="IA38" s="1827"/>
      <c r="IB38" s="1827"/>
      <c r="IC38" s="1827"/>
      <c r="ID38" s="1827"/>
      <c r="IE38" s="1827"/>
      <c r="IF38" s="1827"/>
      <c r="IG38" s="1827"/>
      <c r="IH38" s="1827"/>
      <c r="II38" s="1827"/>
      <c r="IJ38" s="1827"/>
      <c r="IK38" s="1827"/>
      <c r="IL38" s="1827"/>
      <c r="IM38" s="1827"/>
      <c r="IN38" s="1827"/>
      <c r="IO38" s="1827"/>
      <c r="IP38" s="1827"/>
      <c r="IQ38" s="1827"/>
      <c r="IR38" s="1827"/>
      <c r="IS38" s="1827"/>
      <c r="IT38" s="1827"/>
      <c r="IU38" s="1827"/>
      <c r="IV38" s="1827"/>
    </row>
    <row r="39" spans="1:256">
      <c r="A39" s="1831">
        <f>+A38+1</f>
        <v>22</v>
      </c>
      <c r="B39" s="1832" t="s">
        <v>510</v>
      </c>
      <c r="C39" s="1832"/>
      <c r="D39" s="1832"/>
      <c r="E39" s="1832" t="str">
        <f>"Line "&amp;A37&amp;" less Line "&amp;A38</f>
        <v>Line 20 less Line 21</v>
      </c>
      <c r="F39" s="1829"/>
      <c r="G39" s="1827"/>
      <c r="H39" s="1833">
        <f>+H37-H38</f>
        <v>0</v>
      </c>
      <c r="I39" s="1829"/>
      <c r="J39" s="1827"/>
      <c r="K39" s="1827"/>
      <c r="L39" s="1827"/>
      <c r="M39" s="1827"/>
      <c r="N39" s="1827"/>
      <c r="O39" s="1827"/>
      <c r="P39" s="1827"/>
      <c r="Q39" s="1827"/>
      <c r="R39" s="1827"/>
      <c r="S39" s="1827"/>
      <c r="T39" s="1827"/>
      <c r="U39" s="1827"/>
      <c r="V39" s="1827"/>
      <c r="W39" s="1827"/>
      <c r="X39" s="1827"/>
      <c r="Y39" s="1827"/>
      <c r="Z39" s="1827"/>
      <c r="AA39" s="1827"/>
      <c r="AB39" s="1827"/>
      <c r="AC39" s="1827"/>
      <c r="AD39" s="1827"/>
      <c r="AE39" s="1827"/>
      <c r="AF39" s="1827"/>
      <c r="AG39" s="1827"/>
      <c r="AH39" s="1827"/>
      <c r="AI39" s="1827"/>
      <c r="AJ39" s="1827"/>
      <c r="AK39" s="1827"/>
      <c r="AL39" s="1827"/>
      <c r="AM39" s="1827"/>
      <c r="AN39" s="1827"/>
      <c r="AO39" s="1827"/>
      <c r="AP39" s="1827"/>
      <c r="AQ39" s="1827"/>
      <c r="AR39" s="1827"/>
      <c r="AS39" s="1827"/>
      <c r="AT39" s="1827"/>
      <c r="AU39" s="1827"/>
      <c r="AV39" s="1827"/>
      <c r="AW39" s="1827"/>
      <c r="AX39" s="1827"/>
      <c r="AY39" s="1827"/>
      <c r="AZ39" s="1827"/>
      <c r="BA39" s="1827"/>
      <c r="BB39" s="1827"/>
      <c r="BC39" s="1827"/>
      <c r="BD39" s="1827"/>
      <c r="BE39" s="1827"/>
      <c r="BF39" s="1827"/>
      <c r="BG39" s="1827"/>
      <c r="BH39" s="1827"/>
      <c r="BI39" s="1827"/>
      <c r="BJ39" s="1827"/>
      <c r="BK39" s="1827"/>
      <c r="BL39" s="1827"/>
      <c r="BM39" s="1827"/>
      <c r="BN39" s="1827"/>
      <c r="BO39" s="1827"/>
      <c r="BP39" s="1827"/>
      <c r="BQ39" s="1827"/>
      <c r="BR39" s="1827"/>
      <c r="BS39" s="1827"/>
      <c r="BT39" s="1827"/>
      <c r="BU39" s="1827"/>
      <c r="BV39" s="1827"/>
      <c r="BW39" s="1827"/>
      <c r="BX39" s="1827"/>
      <c r="BY39" s="1827"/>
      <c r="BZ39" s="1827"/>
      <c r="CA39" s="1827"/>
      <c r="CB39" s="1827"/>
      <c r="CC39" s="1827"/>
      <c r="CD39" s="1827"/>
      <c r="CE39" s="1827"/>
      <c r="CF39" s="1827"/>
      <c r="CG39" s="1827"/>
      <c r="CH39" s="1827"/>
      <c r="CI39" s="1827"/>
      <c r="CJ39" s="1827"/>
      <c r="CK39" s="1827"/>
      <c r="CL39" s="1827"/>
      <c r="CM39" s="1827"/>
      <c r="CN39" s="1827"/>
      <c r="CO39" s="1827"/>
      <c r="CP39" s="1827"/>
      <c r="CQ39" s="1827"/>
      <c r="CR39" s="1827"/>
      <c r="CS39" s="1827"/>
      <c r="CT39" s="1827"/>
      <c r="CU39" s="1827"/>
      <c r="CV39" s="1827"/>
      <c r="CW39" s="1827"/>
      <c r="CX39" s="1827"/>
      <c r="CY39" s="1827"/>
      <c r="CZ39" s="1827"/>
      <c r="DA39" s="1827"/>
      <c r="DB39" s="1827"/>
      <c r="DC39" s="1827"/>
      <c r="DD39" s="1827"/>
      <c r="DE39" s="1827"/>
      <c r="DF39" s="1827"/>
      <c r="DG39" s="1827"/>
      <c r="DH39" s="1827"/>
      <c r="DI39" s="1827"/>
      <c r="DJ39" s="1827"/>
      <c r="DK39" s="1827"/>
      <c r="DL39" s="1827"/>
      <c r="DM39" s="1827"/>
      <c r="DN39" s="1827"/>
      <c r="DO39" s="1827"/>
      <c r="DP39" s="1827"/>
      <c r="DQ39" s="1827"/>
      <c r="DR39" s="1827"/>
      <c r="DS39" s="1827"/>
      <c r="DT39" s="1827"/>
      <c r="DU39" s="1827"/>
      <c r="DV39" s="1827"/>
      <c r="DW39" s="1827"/>
      <c r="DX39" s="1827"/>
      <c r="DY39" s="1827"/>
      <c r="DZ39" s="1827"/>
      <c r="EA39" s="1827"/>
      <c r="EB39" s="1827"/>
      <c r="EC39" s="1827"/>
      <c r="ED39" s="1827"/>
      <c r="EE39" s="1827"/>
      <c r="EF39" s="1827"/>
      <c r="EG39" s="1827"/>
      <c r="EH39" s="1827"/>
      <c r="EI39" s="1827"/>
      <c r="EJ39" s="1827"/>
      <c r="EK39" s="1827"/>
      <c r="EL39" s="1827"/>
      <c r="EM39" s="1827"/>
      <c r="EN39" s="1827"/>
      <c r="EO39" s="1827"/>
      <c r="EP39" s="1827"/>
      <c r="EQ39" s="1827"/>
      <c r="ER39" s="1827"/>
      <c r="ES39" s="1827"/>
      <c r="ET39" s="1827"/>
      <c r="EU39" s="1827"/>
      <c r="EV39" s="1827"/>
      <c r="EW39" s="1827"/>
      <c r="EX39" s="1827"/>
      <c r="EY39" s="1827"/>
      <c r="EZ39" s="1827"/>
      <c r="FA39" s="1827"/>
      <c r="FB39" s="1827"/>
      <c r="FC39" s="1827"/>
      <c r="FD39" s="1827"/>
      <c r="FE39" s="1827"/>
      <c r="FF39" s="1827"/>
      <c r="FG39" s="1827"/>
      <c r="FH39" s="1827"/>
      <c r="FI39" s="1827"/>
      <c r="FJ39" s="1827"/>
      <c r="FK39" s="1827"/>
      <c r="FL39" s="1827"/>
      <c r="FM39" s="1827"/>
      <c r="FN39" s="1827"/>
      <c r="FO39" s="1827"/>
      <c r="FP39" s="1827"/>
      <c r="FQ39" s="1827"/>
      <c r="FR39" s="1827"/>
      <c r="FS39" s="1827"/>
      <c r="FT39" s="1827"/>
      <c r="FU39" s="1827"/>
      <c r="FV39" s="1827"/>
      <c r="FW39" s="1827"/>
      <c r="FX39" s="1827"/>
      <c r="FY39" s="1827"/>
      <c r="FZ39" s="1827"/>
      <c r="GA39" s="1827"/>
      <c r="GB39" s="1827"/>
      <c r="GC39" s="1827"/>
      <c r="GD39" s="1827"/>
      <c r="GE39" s="1827"/>
      <c r="GF39" s="1827"/>
      <c r="GG39" s="1827"/>
      <c r="GH39" s="1827"/>
      <c r="GI39" s="1827"/>
      <c r="GJ39" s="1827"/>
      <c r="GK39" s="1827"/>
      <c r="GL39" s="1827"/>
      <c r="GM39" s="1827"/>
      <c r="GN39" s="1827"/>
      <c r="GO39" s="1827"/>
      <c r="GP39" s="1827"/>
      <c r="GQ39" s="1827"/>
      <c r="GR39" s="1827"/>
      <c r="GS39" s="1827"/>
      <c r="GT39" s="1827"/>
      <c r="GU39" s="1827"/>
      <c r="GV39" s="1827"/>
      <c r="GW39" s="1827"/>
      <c r="GX39" s="1827"/>
      <c r="GY39" s="1827"/>
      <c r="GZ39" s="1827"/>
      <c r="HA39" s="1827"/>
      <c r="HB39" s="1827"/>
      <c r="HC39" s="1827"/>
      <c r="HD39" s="1827"/>
      <c r="HE39" s="1827"/>
      <c r="HF39" s="1827"/>
      <c r="HG39" s="1827"/>
      <c r="HH39" s="1827"/>
      <c r="HI39" s="1827"/>
      <c r="HJ39" s="1827"/>
      <c r="HK39" s="1827"/>
      <c r="HL39" s="1827"/>
      <c r="HM39" s="1827"/>
      <c r="HN39" s="1827"/>
      <c r="HO39" s="1827"/>
      <c r="HP39" s="1827"/>
      <c r="HQ39" s="1827"/>
      <c r="HR39" s="1827"/>
      <c r="HS39" s="1827"/>
      <c r="HT39" s="1827"/>
      <c r="HU39" s="1827"/>
      <c r="HV39" s="1827"/>
      <c r="HW39" s="1827"/>
      <c r="HX39" s="1827"/>
      <c r="HY39" s="1827"/>
      <c r="HZ39" s="1827"/>
      <c r="IA39" s="1827"/>
      <c r="IB39" s="1827"/>
      <c r="IC39" s="1827"/>
      <c r="ID39" s="1827"/>
      <c r="IE39" s="1827"/>
      <c r="IF39" s="1827"/>
      <c r="IG39" s="1827"/>
      <c r="IH39" s="1827"/>
      <c r="II39" s="1827"/>
      <c r="IJ39" s="1827"/>
      <c r="IK39" s="1827"/>
      <c r="IL39" s="1827"/>
      <c r="IM39" s="1827"/>
      <c r="IN39" s="1827"/>
      <c r="IO39" s="1827"/>
      <c r="IP39" s="1827"/>
      <c r="IQ39" s="1827"/>
      <c r="IR39" s="1827"/>
      <c r="IS39" s="1827"/>
      <c r="IT39" s="1827"/>
      <c r="IU39" s="1827"/>
      <c r="IV39" s="1827"/>
    </row>
    <row r="40" spans="1:256">
      <c r="A40" s="1831">
        <f>+A39+1</f>
        <v>23</v>
      </c>
      <c r="B40" s="1832" t="s">
        <v>511</v>
      </c>
      <c r="C40" s="1832"/>
      <c r="D40" s="1832"/>
      <c r="E40" s="1832" t="str">
        <f>"Line "&amp;A39&amp;" / 12"</f>
        <v>Line 22 / 12</v>
      </c>
      <c r="F40" s="1829"/>
      <c r="G40" s="1827"/>
      <c r="H40" s="1834">
        <f>+H39/12</f>
        <v>0</v>
      </c>
      <c r="I40" s="1829"/>
      <c r="J40" s="1827"/>
      <c r="K40" s="1827"/>
      <c r="L40" s="1827"/>
      <c r="M40" s="1827"/>
      <c r="N40" s="1827"/>
      <c r="O40" s="1827"/>
      <c r="P40" s="1827"/>
      <c r="Q40" s="1827"/>
      <c r="R40" s="1827"/>
      <c r="S40" s="1827"/>
      <c r="T40" s="1827"/>
      <c r="U40" s="1827"/>
      <c r="V40" s="1827"/>
      <c r="W40" s="1827"/>
      <c r="X40" s="1827"/>
      <c r="Y40" s="1827"/>
      <c r="Z40" s="1827"/>
      <c r="AA40" s="1827"/>
      <c r="AB40" s="1827"/>
      <c r="AC40" s="1827"/>
      <c r="AD40" s="1827"/>
      <c r="AE40" s="1827"/>
      <c r="AF40" s="1827"/>
      <c r="AG40" s="1827"/>
      <c r="AH40" s="1827"/>
      <c r="AI40" s="1827"/>
      <c r="AJ40" s="1827"/>
      <c r="AK40" s="1827"/>
      <c r="AL40" s="1827"/>
      <c r="AM40" s="1827"/>
      <c r="AN40" s="1827"/>
      <c r="AO40" s="1827"/>
      <c r="AP40" s="1827"/>
      <c r="AQ40" s="1827"/>
      <c r="AR40" s="1827"/>
      <c r="AS40" s="1827"/>
      <c r="AT40" s="1827"/>
      <c r="AU40" s="1827"/>
      <c r="AV40" s="1827"/>
      <c r="AW40" s="1827"/>
      <c r="AX40" s="1827"/>
      <c r="AY40" s="1827"/>
      <c r="AZ40" s="1827"/>
      <c r="BA40" s="1827"/>
      <c r="BB40" s="1827"/>
      <c r="BC40" s="1827"/>
      <c r="BD40" s="1827"/>
      <c r="BE40" s="1827"/>
      <c r="BF40" s="1827"/>
      <c r="BG40" s="1827"/>
      <c r="BH40" s="1827"/>
      <c r="BI40" s="1827"/>
      <c r="BJ40" s="1827"/>
      <c r="BK40" s="1827"/>
      <c r="BL40" s="1827"/>
      <c r="BM40" s="1827"/>
      <c r="BN40" s="1827"/>
      <c r="BO40" s="1827"/>
      <c r="BP40" s="1827"/>
      <c r="BQ40" s="1827"/>
      <c r="BR40" s="1827"/>
      <c r="BS40" s="1827"/>
      <c r="BT40" s="1827"/>
      <c r="BU40" s="1827"/>
      <c r="BV40" s="1827"/>
      <c r="BW40" s="1827"/>
      <c r="BX40" s="1827"/>
      <c r="BY40" s="1827"/>
      <c r="BZ40" s="1827"/>
      <c r="CA40" s="1827"/>
      <c r="CB40" s="1827"/>
      <c r="CC40" s="1827"/>
      <c r="CD40" s="1827"/>
      <c r="CE40" s="1827"/>
      <c r="CF40" s="1827"/>
      <c r="CG40" s="1827"/>
      <c r="CH40" s="1827"/>
      <c r="CI40" s="1827"/>
      <c r="CJ40" s="1827"/>
      <c r="CK40" s="1827"/>
      <c r="CL40" s="1827"/>
      <c r="CM40" s="1827"/>
      <c r="CN40" s="1827"/>
      <c r="CO40" s="1827"/>
      <c r="CP40" s="1827"/>
      <c r="CQ40" s="1827"/>
      <c r="CR40" s="1827"/>
      <c r="CS40" s="1827"/>
      <c r="CT40" s="1827"/>
      <c r="CU40" s="1827"/>
      <c r="CV40" s="1827"/>
      <c r="CW40" s="1827"/>
      <c r="CX40" s="1827"/>
      <c r="CY40" s="1827"/>
      <c r="CZ40" s="1827"/>
      <c r="DA40" s="1827"/>
      <c r="DB40" s="1827"/>
      <c r="DC40" s="1827"/>
      <c r="DD40" s="1827"/>
      <c r="DE40" s="1827"/>
      <c r="DF40" s="1827"/>
      <c r="DG40" s="1827"/>
      <c r="DH40" s="1827"/>
      <c r="DI40" s="1827"/>
      <c r="DJ40" s="1827"/>
      <c r="DK40" s="1827"/>
      <c r="DL40" s="1827"/>
      <c r="DM40" s="1827"/>
      <c r="DN40" s="1827"/>
      <c r="DO40" s="1827"/>
      <c r="DP40" s="1827"/>
      <c r="DQ40" s="1827"/>
      <c r="DR40" s="1827"/>
      <c r="DS40" s="1827"/>
      <c r="DT40" s="1827"/>
      <c r="DU40" s="1827"/>
      <c r="DV40" s="1827"/>
      <c r="DW40" s="1827"/>
      <c r="DX40" s="1827"/>
      <c r="DY40" s="1827"/>
      <c r="DZ40" s="1827"/>
      <c r="EA40" s="1827"/>
      <c r="EB40" s="1827"/>
      <c r="EC40" s="1827"/>
      <c r="ED40" s="1827"/>
      <c r="EE40" s="1827"/>
      <c r="EF40" s="1827"/>
      <c r="EG40" s="1827"/>
      <c r="EH40" s="1827"/>
      <c r="EI40" s="1827"/>
      <c r="EJ40" s="1827"/>
      <c r="EK40" s="1827"/>
      <c r="EL40" s="1827"/>
      <c r="EM40" s="1827"/>
      <c r="EN40" s="1827"/>
      <c r="EO40" s="1827"/>
      <c r="EP40" s="1827"/>
      <c r="EQ40" s="1827"/>
      <c r="ER40" s="1827"/>
      <c r="ES40" s="1827"/>
      <c r="ET40" s="1827"/>
      <c r="EU40" s="1827"/>
      <c r="EV40" s="1827"/>
      <c r="EW40" s="1827"/>
      <c r="EX40" s="1827"/>
      <c r="EY40" s="1827"/>
      <c r="EZ40" s="1827"/>
      <c r="FA40" s="1827"/>
      <c r="FB40" s="1827"/>
      <c r="FC40" s="1827"/>
      <c r="FD40" s="1827"/>
      <c r="FE40" s="1827"/>
      <c r="FF40" s="1827"/>
      <c r="FG40" s="1827"/>
      <c r="FH40" s="1827"/>
      <c r="FI40" s="1827"/>
      <c r="FJ40" s="1827"/>
      <c r="FK40" s="1827"/>
      <c r="FL40" s="1827"/>
      <c r="FM40" s="1827"/>
      <c r="FN40" s="1827"/>
      <c r="FO40" s="1827"/>
      <c r="FP40" s="1827"/>
      <c r="FQ40" s="1827"/>
      <c r="FR40" s="1827"/>
      <c r="FS40" s="1827"/>
      <c r="FT40" s="1827"/>
      <c r="FU40" s="1827"/>
      <c r="FV40" s="1827"/>
      <c r="FW40" s="1827"/>
      <c r="FX40" s="1827"/>
      <c r="FY40" s="1827"/>
      <c r="FZ40" s="1827"/>
      <c r="GA40" s="1827"/>
      <c r="GB40" s="1827"/>
      <c r="GC40" s="1827"/>
      <c r="GD40" s="1827"/>
      <c r="GE40" s="1827"/>
      <c r="GF40" s="1827"/>
      <c r="GG40" s="1827"/>
      <c r="GH40" s="1827"/>
      <c r="GI40" s="1827"/>
      <c r="GJ40" s="1827"/>
      <c r="GK40" s="1827"/>
      <c r="GL40" s="1827"/>
      <c r="GM40" s="1827"/>
      <c r="GN40" s="1827"/>
      <c r="GO40" s="1827"/>
      <c r="GP40" s="1827"/>
      <c r="GQ40" s="1827"/>
      <c r="GR40" s="1827"/>
      <c r="GS40" s="1827"/>
      <c r="GT40" s="1827"/>
      <c r="GU40" s="1827"/>
      <c r="GV40" s="1827"/>
      <c r="GW40" s="1827"/>
      <c r="GX40" s="1827"/>
      <c r="GY40" s="1827"/>
      <c r="GZ40" s="1827"/>
      <c r="HA40" s="1827"/>
      <c r="HB40" s="1827"/>
      <c r="HC40" s="1827"/>
      <c r="HD40" s="1827"/>
      <c r="HE40" s="1827"/>
      <c r="HF40" s="1827"/>
      <c r="HG40" s="1827"/>
      <c r="HH40" s="1827"/>
      <c r="HI40" s="1827"/>
      <c r="HJ40" s="1827"/>
      <c r="HK40" s="1827"/>
      <c r="HL40" s="1827"/>
      <c r="HM40" s="1827"/>
      <c r="HN40" s="1827"/>
      <c r="HO40" s="1827"/>
      <c r="HP40" s="1827"/>
      <c r="HQ40" s="1827"/>
      <c r="HR40" s="1827"/>
      <c r="HS40" s="1827"/>
      <c r="HT40" s="1827"/>
      <c r="HU40" s="1827"/>
      <c r="HV40" s="1827"/>
      <c r="HW40" s="1827"/>
      <c r="HX40" s="1827"/>
      <c r="HY40" s="1827"/>
      <c r="HZ40" s="1827"/>
      <c r="IA40" s="1827"/>
      <c r="IB40" s="1827"/>
      <c r="IC40" s="1827"/>
      <c r="ID40" s="1827"/>
      <c r="IE40" s="1827"/>
      <c r="IF40" s="1827"/>
      <c r="IG40" s="1827"/>
      <c r="IH40" s="1827"/>
      <c r="II40" s="1827"/>
      <c r="IJ40" s="1827"/>
      <c r="IK40" s="1827"/>
      <c r="IL40" s="1827"/>
      <c r="IM40" s="1827"/>
      <c r="IN40" s="1827"/>
      <c r="IO40" s="1827"/>
      <c r="IP40" s="1827"/>
      <c r="IQ40" s="1827"/>
      <c r="IR40" s="1827"/>
      <c r="IS40" s="1827"/>
      <c r="IT40" s="1827"/>
      <c r="IU40" s="1827"/>
      <c r="IV40" s="1827"/>
    </row>
    <row r="41" spans="1:256">
      <c r="A41" s="1832"/>
      <c r="B41" s="1832"/>
      <c r="C41" s="1832"/>
      <c r="D41" s="1832"/>
      <c r="E41" s="1829"/>
      <c r="F41" s="1829"/>
      <c r="G41" s="1829"/>
      <c r="H41" s="1829"/>
      <c r="I41" s="1829"/>
      <c r="J41" s="1827"/>
      <c r="K41" s="1827"/>
      <c r="L41" s="1827"/>
      <c r="M41" s="1827"/>
      <c r="N41" s="1827"/>
      <c r="O41" s="1827"/>
      <c r="P41" s="1827"/>
      <c r="Q41" s="1827"/>
      <c r="R41" s="1827"/>
      <c r="S41" s="1827"/>
      <c r="T41" s="1827"/>
      <c r="U41" s="1827"/>
      <c r="V41" s="1827"/>
      <c r="W41" s="1827"/>
      <c r="X41" s="1827"/>
      <c r="Y41" s="1827"/>
      <c r="Z41" s="1827"/>
      <c r="AA41" s="1827"/>
      <c r="AB41" s="1827"/>
      <c r="AC41" s="1827"/>
      <c r="AD41" s="1827"/>
      <c r="AE41" s="1827"/>
      <c r="AF41" s="1827"/>
      <c r="AG41" s="1827"/>
      <c r="AH41" s="1827"/>
      <c r="AI41" s="1827"/>
      <c r="AJ41" s="1827"/>
      <c r="AK41" s="1827"/>
      <c r="AL41" s="1827"/>
      <c r="AM41" s="1827"/>
      <c r="AN41" s="1827"/>
      <c r="AO41" s="1827"/>
      <c r="AP41" s="1827"/>
      <c r="AQ41" s="1827"/>
      <c r="AR41" s="1827"/>
      <c r="AS41" s="1827"/>
      <c r="AT41" s="1827"/>
      <c r="AU41" s="1827"/>
      <c r="AV41" s="1827"/>
      <c r="AW41" s="1827"/>
      <c r="AX41" s="1827"/>
      <c r="AY41" s="1827"/>
      <c r="AZ41" s="1827"/>
      <c r="BA41" s="1827"/>
      <c r="BB41" s="1827"/>
      <c r="BC41" s="1827"/>
      <c r="BD41" s="1827"/>
      <c r="BE41" s="1827"/>
      <c r="BF41" s="1827"/>
      <c r="BG41" s="1827"/>
      <c r="BH41" s="1827"/>
      <c r="BI41" s="1827"/>
      <c r="BJ41" s="1827"/>
      <c r="BK41" s="1827"/>
      <c r="BL41" s="1827"/>
      <c r="BM41" s="1827"/>
      <c r="BN41" s="1827"/>
      <c r="BO41" s="1827"/>
      <c r="BP41" s="1827"/>
      <c r="BQ41" s="1827"/>
      <c r="BR41" s="1827"/>
      <c r="BS41" s="1827"/>
      <c r="BT41" s="1827"/>
      <c r="BU41" s="1827"/>
      <c r="BV41" s="1827"/>
      <c r="BW41" s="1827"/>
      <c r="BX41" s="1827"/>
      <c r="BY41" s="1827"/>
      <c r="BZ41" s="1827"/>
      <c r="CA41" s="1827"/>
      <c r="CB41" s="1827"/>
      <c r="CC41" s="1827"/>
      <c r="CD41" s="1827"/>
      <c r="CE41" s="1827"/>
      <c r="CF41" s="1827"/>
      <c r="CG41" s="1827"/>
      <c r="CH41" s="1827"/>
      <c r="CI41" s="1827"/>
      <c r="CJ41" s="1827"/>
      <c r="CK41" s="1827"/>
      <c r="CL41" s="1827"/>
      <c r="CM41" s="1827"/>
      <c r="CN41" s="1827"/>
      <c r="CO41" s="1827"/>
      <c r="CP41" s="1827"/>
      <c r="CQ41" s="1827"/>
      <c r="CR41" s="1827"/>
      <c r="CS41" s="1827"/>
      <c r="CT41" s="1827"/>
      <c r="CU41" s="1827"/>
      <c r="CV41" s="1827"/>
      <c r="CW41" s="1827"/>
      <c r="CX41" s="1827"/>
      <c r="CY41" s="1827"/>
      <c r="CZ41" s="1827"/>
      <c r="DA41" s="1827"/>
      <c r="DB41" s="1827"/>
      <c r="DC41" s="1827"/>
      <c r="DD41" s="1827"/>
      <c r="DE41" s="1827"/>
      <c r="DF41" s="1827"/>
      <c r="DG41" s="1827"/>
      <c r="DH41" s="1827"/>
      <c r="DI41" s="1827"/>
      <c r="DJ41" s="1827"/>
      <c r="DK41" s="1827"/>
      <c r="DL41" s="1827"/>
      <c r="DM41" s="1827"/>
      <c r="DN41" s="1827"/>
      <c r="DO41" s="1827"/>
      <c r="DP41" s="1827"/>
      <c r="DQ41" s="1827"/>
      <c r="DR41" s="1827"/>
      <c r="DS41" s="1827"/>
      <c r="DT41" s="1827"/>
      <c r="DU41" s="1827"/>
      <c r="DV41" s="1827"/>
      <c r="DW41" s="1827"/>
      <c r="DX41" s="1827"/>
      <c r="DY41" s="1827"/>
      <c r="DZ41" s="1827"/>
      <c r="EA41" s="1827"/>
      <c r="EB41" s="1827"/>
      <c r="EC41" s="1827"/>
      <c r="ED41" s="1827"/>
      <c r="EE41" s="1827"/>
      <c r="EF41" s="1827"/>
      <c r="EG41" s="1827"/>
      <c r="EH41" s="1827"/>
      <c r="EI41" s="1827"/>
      <c r="EJ41" s="1827"/>
      <c r="EK41" s="1827"/>
      <c r="EL41" s="1827"/>
      <c r="EM41" s="1827"/>
      <c r="EN41" s="1827"/>
      <c r="EO41" s="1827"/>
      <c r="EP41" s="1827"/>
      <c r="EQ41" s="1827"/>
      <c r="ER41" s="1827"/>
      <c r="ES41" s="1827"/>
      <c r="ET41" s="1827"/>
      <c r="EU41" s="1827"/>
      <c r="EV41" s="1827"/>
      <c r="EW41" s="1827"/>
      <c r="EX41" s="1827"/>
      <c r="EY41" s="1827"/>
      <c r="EZ41" s="1827"/>
      <c r="FA41" s="1827"/>
      <c r="FB41" s="1827"/>
      <c r="FC41" s="1827"/>
      <c r="FD41" s="1827"/>
      <c r="FE41" s="1827"/>
      <c r="FF41" s="1827"/>
      <c r="FG41" s="1827"/>
      <c r="FH41" s="1827"/>
      <c r="FI41" s="1827"/>
      <c r="FJ41" s="1827"/>
      <c r="FK41" s="1827"/>
      <c r="FL41" s="1827"/>
      <c r="FM41" s="1827"/>
      <c r="FN41" s="1827"/>
      <c r="FO41" s="1827"/>
      <c r="FP41" s="1827"/>
      <c r="FQ41" s="1827"/>
      <c r="FR41" s="1827"/>
      <c r="FS41" s="1827"/>
      <c r="FT41" s="1827"/>
      <c r="FU41" s="1827"/>
      <c r="FV41" s="1827"/>
      <c r="FW41" s="1827"/>
      <c r="FX41" s="1827"/>
      <c r="FY41" s="1827"/>
      <c r="FZ41" s="1827"/>
      <c r="GA41" s="1827"/>
      <c r="GB41" s="1827"/>
      <c r="GC41" s="1827"/>
      <c r="GD41" s="1827"/>
      <c r="GE41" s="1827"/>
      <c r="GF41" s="1827"/>
      <c r="GG41" s="1827"/>
      <c r="GH41" s="1827"/>
      <c r="GI41" s="1827"/>
      <c r="GJ41" s="1827"/>
      <c r="GK41" s="1827"/>
      <c r="GL41" s="1827"/>
      <c r="GM41" s="1827"/>
      <c r="GN41" s="1827"/>
      <c r="GO41" s="1827"/>
      <c r="GP41" s="1827"/>
      <c r="GQ41" s="1827"/>
      <c r="GR41" s="1827"/>
      <c r="GS41" s="1827"/>
      <c r="GT41" s="1827"/>
      <c r="GU41" s="1827"/>
      <c r="GV41" s="1827"/>
      <c r="GW41" s="1827"/>
      <c r="GX41" s="1827"/>
      <c r="GY41" s="1827"/>
      <c r="GZ41" s="1827"/>
      <c r="HA41" s="1827"/>
      <c r="HB41" s="1827"/>
      <c r="HC41" s="1827"/>
      <c r="HD41" s="1827"/>
      <c r="HE41" s="1827"/>
      <c r="HF41" s="1827"/>
      <c r="HG41" s="1827"/>
      <c r="HH41" s="1827"/>
      <c r="HI41" s="1827"/>
      <c r="HJ41" s="1827"/>
      <c r="HK41" s="1827"/>
      <c r="HL41" s="1827"/>
      <c r="HM41" s="1827"/>
      <c r="HN41" s="1827"/>
      <c r="HO41" s="1827"/>
      <c r="HP41" s="1827"/>
      <c r="HQ41" s="1827"/>
      <c r="HR41" s="1827"/>
      <c r="HS41" s="1827"/>
      <c r="HT41" s="1827"/>
      <c r="HU41" s="1827"/>
      <c r="HV41" s="1827"/>
      <c r="HW41" s="1827"/>
      <c r="HX41" s="1827"/>
      <c r="HY41" s="1827"/>
      <c r="HZ41" s="1827"/>
      <c r="IA41" s="1827"/>
      <c r="IB41" s="1827"/>
      <c r="IC41" s="1827"/>
      <c r="ID41" s="1827"/>
      <c r="IE41" s="1827"/>
      <c r="IF41" s="1827"/>
      <c r="IG41" s="1827"/>
      <c r="IH41" s="1827"/>
      <c r="II41" s="1827"/>
      <c r="IJ41" s="1827"/>
      <c r="IK41" s="1827"/>
      <c r="IL41" s="1827"/>
      <c r="IM41" s="1827"/>
      <c r="IN41" s="1827"/>
      <c r="IO41" s="1827"/>
      <c r="IP41" s="1827"/>
      <c r="IQ41" s="1827"/>
      <c r="IR41" s="1827"/>
      <c r="IS41" s="1827"/>
      <c r="IT41" s="1827"/>
      <c r="IU41" s="1827"/>
      <c r="IV41" s="1827"/>
    </row>
    <row r="42" spans="1:256" ht="15.75">
      <c r="A42" s="1827"/>
      <c r="B42" s="1835" t="s">
        <v>303</v>
      </c>
      <c r="C42" s="1835" t="s">
        <v>304</v>
      </c>
      <c r="D42" s="1835" t="s">
        <v>47</v>
      </c>
      <c r="E42" s="1835" t="s">
        <v>306</v>
      </c>
      <c r="F42" s="1835" t="s">
        <v>231</v>
      </c>
      <c r="G42" s="1835" t="s">
        <v>232</v>
      </c>
      <c r="H42" s="1835" t="s">
        <v>233</v>
      </c>
      <c r="I42" s="1835" t="s">
        <v>238</v>
      </c>
      <c r="J42" s="1827"/>
      <c r="K42" s="1827"/>
      <c r="L42" s="1827"/>
      <c r="M42" s="1827"/>
      <c r="N42" s="1827"/>
      <c r="O42" s="1827"/>
      <c r="P42" s="1827"/>
      <c r="Q42" s="1827"/>
      <c r="R42" s="1827"/>
      <c r="S42" s="1827"/>
      <c r="T42" s="1827"/>
      <c r="U42" s="1827"/>
      <c r="V42" s="1827"/>
      <c r="W42" s="1827"/>
      <c r="X42" s="1827"/>
      <c r="Y42" s="1827"/>
      <c r="Z42" s="1827"/>
      <c r="AA42" s="1827"/>
      <c r="AB42" s="1827"/>
      <c r="AC42" s="1827"/>
      <c r="AD42" s="1827"/>
      <c r="AE42" s="1827"/>
      <c r="AF42" s="1827"/>
      <c r="AG42" s="1827"/>
      <c r="AH42" s="1827"/>
      <c r="AI42" s="1827"/>
      <c r="AJ42" s="1827"/>
      <c r="AK42" s="1827"/>
      <c r="AL42" s="1827"/>
      <c r="AM42" s="1827"/>
      <c r="AN42" s="1827"/>
      <c r="AO42" s="1827"/>
      <c r="AP42" s="1827"/>
      <c r="AQ42" s="1827"/>
      <c r="AR42" s="1827"/>
      <c r="AS42" s="1827"/>
      <c r="AT42" s="1827"/>
      <c r="AU42" s="1827"/>
      <c r="AV42" s="1827"/>
      <c r="AW42" s="1827"/>
      <c r="AX42" s="1827"/>
      <c r="AY42" s="1827"/>
      <c r="AZ42" s="1827"/>
      <c r="BA42" s="1827"/>
      <c r="BB42" s="1827"/>
      <c r="BC42" s="1827"/>
      <c r="BD42" s="1827"/>
      <c r="BE42" s="1827"/>
      <c r="BF42" s="1827"/>
      <c r="BG42" s="1827"/>
      <c r="BH42" s="1827"/>
      <c r="BI42" s="1827"/>
      <c r="BJ42" s="1827"/>
      <c r="BK42" s="1827"/>
      <c r="BL42" s="1827"/>
      <c r="BM42" s="1827"/>
      <c r="BN42" s="1827"/>
      <c r="BO42" s="1827"/>
      <c r="BP42" s="1827"/>
      <c r="BQ42" s="1827"/>
      <c r="BR42" s="1827"/>
      <c r="BS42" s="1827"/>
      <c r="BT42" s="1827"/>
      <c r="BU42" s="1827"/>
      <c r="BV42" s="1827"/>
      <c r="BW42" s="1827"/>
      <c r="BX42" s="1827"/>
      <c r="BY42" s="1827"/>
      <c r="BZ42" s="1827"/>
      <c r="CA42" s="1827"/>
      <c r="CB42" s="1827"/>
      <c r="CC42" s="1827"/>
      <c r="CD42" s="1827"/>
      <c r="CE42" s="1827"/>
      <c r="CF42" s="1827"/>
      <c r="CG42" s="1827"/>
      <c r="CH42" s="1827"/>
      <c r="CI42" s="1827"/>
      <c r="CJ42" s="1827"/>
      <c r="CK42" s="1827"/>
      <c r="CL42" s="1827"/>
      <c r="CM42" s="1827"/>
      <c r="CN42" s="1827"/>
      <c r="CO42" s="1827"/>
      <c r="CP42" s="1827"/>
      <c r="CQ42" s="1827"/>
      <c r="CR42" s="1827"/>
      <c r="CS42" s="1827"/>
      <c r="CT42" s="1827"/>
      <c r="CU42" s="1827"/>
      <c r="CV42" s="1827"/>
      <c r="CW42" s="1827"/>
      <c r="CX42" s="1827"/>
      <c r="CY42" s="1827"/>
      <c r="CZ42" s="1827"/>
      <c r="DA42" s="1827"/>
      <c r="DB42" s="1827"/>
      <c r="DC42" s="1827"/>
      <c r="DD42" s="1827"/>
      <c r="DE42" s="1827"/>
      <c r="DF42" s="1827"/>
      <c r="DG42" s="1827"/>
      <c r="DH42" s="1827"/>
      <c r="DI42" s="1827"/>
      <c r="DJ42" s="1827"/>
      <c r="DK42" s="1827"/>
      <c r="DL42" s="1827"/>
      <c r="DM42" s="1827"/>
      <c r="DN42" s="1827"/>
      <c r="DO42" s="1827"/>
      <c r="DP42" s="1827"/>
      <c r="DQ42" s="1827"/>
      <c r="DR42" s="1827"/>
      <c r="DS42" s="1827"/>
      <c r="DT42" s="1827"/>
      <c r="DU42" s="1827"/>
      <c r="DV42" s="1827"/>
      <c r="DW42" s="1827"/>
      <c r="DX42" s="1827"/>
      <c r="DY42" s="1827"/>
      <c r="DZ42" s="1827"/>
      <c r="EA42" s="1827"/>
      <c r="EB42" s="1827"/>
      <c r="EC42" s="1827"/>
      <c r="ED42" s="1827"/>
      <c r="EE42" s="1827"/>
      <c r="EF42" s="1827"/>
      <c r="EG42" s="1827"/>
      <c r="EH42" s="1827"/>
      <c r="EI42" s="1827"/>
      <c r="EJ42" s="1827"/>
      <c r="EK42" s="1827"/>
      <c r="EL42" s="1827"/>
      <c r="EM42" s="1827"/>
      <c r="EN42" s="1827"/>
      <c r="EO42" s="1827"/>
      <c r="EP42" s="1827"/>
      <c r="EQ42" s="1827"/>
      <c r="ER42" s="1827"/>
      <c r="ES42" s="1827"/>
      <c r="ET42" s="1827"/>
      <c r="EU42" s="1827"/>
      <c r="EV42" s="1827"/>
      <c r="EW42" s="1827"/>
      <c r="EX42" s="1827"/>
      <c r="EY42" s="1827"/>
      <c r="EZ42" s="1827"/>
      <c r="FA42" s="1827"/>
      <c r="FB42" s="1827"/>
      <c r="FC42" s="1827"/>
      <c r="FD42" s="1827"/>
      <c r="FE42" s="1827"/>
      <c r="FF42" s="1827"/>
      <c r="FG42" s="1827"/>
      <c r="FH42" s="1827"/>
      <c r="FI42" s="1827"/>
      <c r="FJ42" s="1827"/>
      <c r="FK42" s="1827"/>
      <c r="FL42" s="1827"/>
      <c r="FM42" s="1827"/>
      <c r="FN42" s="1827"/>
      <c r="FO42" s="1827"/>
      <c r="FP42" s="1827"/>
      <c r="FQ42" s="1827"/>
      <c r="FR42" s="1827"/>
      <c r="FS42" s="1827"/>
      <c r="FT42" s="1827"/>
      <c r="FU42" s="1827"/>
      <c r="FV42" s="1827"/>
      <c r="FW42" s="1827"/>
      <c r="FX42" s="1827"/>
      <c r="FY42" s="1827"/>
      <c r="FZ42" s="1827"/>
      <c r="GA42" s="1827"/>
      <c r="GB42" s="1827"/>
      <c r="GC42" s="1827"/>
      <c r="GD42" s="1827"/>
      <c r="GE42" s="1827"/>
      <c r="GF42" s="1827"/>
      <c r="GG42" s="1827"/>
      <c r="GH42" s="1827"/>
      <c r="GI42" s="1827"/>
      <c r="GJ42" s="1827"/>
      <c r="GK42" s="1827"/>
      <c r="GL42" s="1827"/>
      <c r="GM42" s="1827"/>
      <c r="GN42" s="1827"/>
      <c r="GO42" s="1827"/>
      <c r="GP42" s="1827"/>
      <c r="GQ42" s="1827"/>
      <c r="GR42" s="1827"/>
      <c r="GS42" s="1827"/>
      <c r="GT42" s="1827"/>
      <c r="GU42" s="1827"/>
      <c r="GV42" s="1827"/>
      <c r="GW42" s="1827"/>
      <c r="GX42" s="1827"/>
      <c r="GY42" s="1827"/>
      <c r="GZ42" s="1827"/>
      <c r="HA42" s="1827"/>
      <c r="HB42" s="1827"/>
      <c r="HC42" s="1827"/>
      <c r="HD42" s="1827"/>
      <c r="HE42" s="1827"/>
      <c r="HF42" s="1827"/>
      <c r="HG42" s="1827"/>
      <c r="HH42" s="1827"/>
      <c r="HI42" s="1827"/>
      <c r="HJ42" s="1827"/>
      <c r="HK42" s="1827"/>
      <c r="HL42" s="1827"/>
      <c r="HM42" s="1827"/>
      <c r="HN42" s="1827"/>
      <c r="HO42" s="1827"/>
      <c r="HP42" s="1827"/>
      <c r="HQ42" s="1827"/>
      <c r="HR42" s="1827"/>
      <c r="HS42" s="1827"/>
      <c r="HT42" s="1827"/>
      <c r="HU42" s="1827"/>
      <c r="HV42" s="1827"/>
      <c r="HW42" s="1827"/>
      <c r="HX42" s="1827"/>
      <c r="HY42" s="1827"/>
      <c r="HZ42" s="1827"/>
      <c r="IA42" s="1827"/>
      <c r="IB42" s="1827"/>
      <c r="IC42" s="1827"/>
      <c r="ID42" s="1827"/>
      <c r="IE42" s="1827"/>
      <c r="IF42" s="1827"/>
      <c r="IG42" s="1827"/>
      <c r="IH42" s="1827"/>
      <c r="II42" s="1827"/>
      <c r="IJ42" s="1827"/>
      <c r="IK42" s="1827"/>
      <c r="IL42" s="1827"/>
      <c r="IM42" s="1827"/>
      <c r="IN42" s="1827"/>
      <c r="IO42" s="1827"/>
      <c r="IP42" s="1827"/>
      <c r="IQ42" s="1827"/>
      <c r="IR42" s="1827"/>
      <c r="IS42" s="1827"/>
      <c r="IT42" s="1827"/>
      <c r="IU42" s="1827"/>
      <c r="IV42" s="1827"/>
    </row>
    <row r="43" spans="1:256" ht="39">
      <c r="A43" s="1836" t="s">
        <v>310</v>
      </c>
      <c r="B43" s="1837" t="s">
        <v>512</v>
      </c>
      <c r="C43" s="1837" t="s">
        <v>513</v>
      </c>
      <c r="D43" s="1837" t="s">
        <v>521</v>
      </c>
      <c r="E43" s="1837" t="s">
        <v>522</v>
      </c>
      <c r="F43" s="1837" t="s">
        <v>523</v>
      </c>
      <c r="G43" s="1837" t="s">
        <v>524</v>
      </c>
      <c r="H43" s="1837" t="s">
        <v>514</v>
      </c>
      <c r="I43" s="1837" t="s">
        <v>525</v>
      </c>
      <c r="J43" s="1827"/>
      <c r="K43" s="1838"/>
      <c r="L43" s="1838"/>
      <c r="M43" s="1838"/>
      <c r="N43" s="1838"/>
      <c r="O43" s="1838"/>
      <c r="P43" s="1838"/>
      <c r="Q43" s="1838"/>
      <c r="R43" s="1838"/>
      <c r="S43" s="1838"/>
      <c r="T43" s="1838"/>
      <c r="U43" s="1838"/>
      <c r="V43" s="1838"/>
      <c r="W43" s="1838"/>
      <c r="X43" s="1838"/>
      <c r="Y43" s="1838"/>
      <c r="Z43" s="1838"/>
      <c r="AA43" s="1838"/>
      <c r="AB43" s="1838"/>
      <c r="AC43" s="1838"/>
      <c r="AD43" s="1838"/>
      <c r="AE43" s="1838"/>
      <c r="AF43" s="1838"/>
      <c r="AG43" s="1838"/>
      <c r="AH43" s="1838"/>
      <c r="AI43" s="1838"/>
      <c r="AJ43" s="1838"/>
      <c r="AK43" s="1838"/>
      <c r="AL43" s="1838"/>
      <c r="AM43" s="1838"/>
      <c r="AN43" s="1838"/>
      <c r="AO43" s="1838"/>
      <c r="AP43" s="1838"/>
      <c r="AQ43" s="1838"/>
      <c r="AR43" s="1838"/>
      <c r="AS43" s="1838"/>
      <c r="AT43" s="1838"/>
      <c r="AU43" s="1838"/>
      <c r="AV43" s="1838"/>
      <c r="AW43" s="1838"/>
      <c r="AX43" s="1838"/>
      <c r="AY43" s="1838"/>
      <c r="AZ43" s="1838"/>
      <c r="BA43" s="1838"/>
      <c r="BB43" s="1838"/>
      <c r="BC43" s="1838"/>
      <c r="BD43" s="1838"/>
      <c r="BE43" s="1838"/>
      <c r="BF43" s="1838"/>
      <c r="BG43" s="1838"/>
      <c r="BH43" s="1838"/>
      <c r="BI43" s="1838"/>
      <c r="BJ43" s="1838"/>
      <c r="BK43" s="1838"/>
      <c r="BL43" s="1838"/>
      <c r="BM43" s="1838"/>
      <c r="BN43" s="1838"/>
      <c r="BO43" s="1838"/>
      <c r="BP43" s="1838"/>
      <c r="BQ43" s="1838"/>
      <c r="BR43" s="1838"/>
      <c r="BS43" s="1838"/>
      <c r="BT43" s="1838"/>
      <c r="BU43" s="1838"/>
      <c r="BV43" s="1838"/>
      <c r="BW43" s="1838"/>
      <c r="BX43" s="1838"/>
      <c r="BY43" s="1838"/>
      <c r="BZ43" s="1838"/>
      <c r="CA43" s="1838"/>
      <c r="CB43" s="1838"/>
      <c r="CC43" s="1838"/>
      <c r="CD43" s="1838"/>
      <c r="CE43" s="1838"/>
      <c r="CF43" s="1838"/>
      <c r="CG43" s="1838"/>
      <c r="CH43" s="1838"/>
      <c r="CI43" s="1838"/>
      <c r="CJ43" s="1838"/>
      <c r="CK43" s="1838"/>
      <c r="CL43" s="1838"/>
      <c r="CM43" s="1838"/>
      <c r="CN43" s="1838"/>
      <c r="CO43" s="1838"/>
      <c r="CP43" s="1838"/>
      <c r="CQ43" s="1838"/>
      <c r="CR43" s="1838"/>
      <c r="CS43" s="1838"/>
      <c r="CT43" s="1838"/>
      <c r="CU43" s="1838"/>
      <c r="CV43" s="1838"/>
      <c r="CW43" s="1838"/>
      <c r="CX43" s="1838"/>
      <c r="CY43" s="1838"/>
      <c r="CZ43" s="1838"/>
      <c r="DA43" s="1838"/>
      <c r="DB43" s="1838"/>
      <c r="DC43" s="1838"/>
      <c r="DD43" s="1838"/>
      <c r="DE43" s="1838"/>
      <c r="DF43" s="1838"/>
      <c r="DG43" s="1838"/>
      <c r="DH43" s="1838"/>
      <c r="DI43" s="1838"/>
      <c r="DJ43" s="1838"/>
      <c r="DK43" s="1838"/>
      <c r="DL43" s="1838"/>
      <c r="DM43" s="1838"/>
      <c r="DN43" s="1838"/>
      <c r="DO43" s="1838"/>
      <c r="DP43" s="1838"/>
      <c r="DQ43" s="1838"/>
      <c r="DR43" s="1838"/>
      <c r="DS43" s="1838"/>
      <c r="DT43" s="1838"/>
      <c r="DU43" s="1838"/>
      <c r="DV43" s="1838"/>
      <c r="DW43" s="1838"/>
      <c r="DX43" s="1838"/>
      <c r="DY43" s="1838"/>
      <c r="DZ43" s="1838"/>
      <c r="EA43" s="1838"/>
      <c r="EB43" s="1838"/>
      <c r="EC43" s="1838"/>
      <c r="ED43" s="1838"/>
      <c r="EE43" s="1838"/>
      <c r="EF43" s="1838"/>
      <c r="EG43" s="1838"/>
      <c r="EH43" s="1838"/>
      <c r="EI43" s="1838"/>
      <c r="EJ43" s="1838"/>
      <c r="EK43" s="1838"/>
      <c r="EL43" s="1838"/>
      <c r="EM43" s="1838"/>
      <c r="EN43" s="1838"/>
      <c r="EO43" s="1838"/>
      <c r="EP43" s="1838"/>
      <c r="EQ43" s="1838"/>
      <c r="ER43" s="1838"/>
      <c r="ES43" s="1838"/>
      <c r="ET43" s="1838"/>
      <c r="EU43" s="1838"/>
      <c r="EV43" s="1838"/>
      <c r="EW43" s="1838"/>
      <c r="EX43" s="1838"/>
      <c r="EY43" s="1838"/>
      <c r="EZ43" s="1838"/>
      <c r="FA43" s="1838"/>
      <c r="FB43" s="1838"/>
      <c r="FC43" s="1838"/>
      <c r="FD43" s="1838"/>
      <c r="FE43" s="1838"/>
      <c r="FF43" s="1838"/>
      <c r="FG43" s="1838"/>
      <c r="FH43" s="1838"/>
      <c r="FI43" s="1838"/>
      <c r="FJ43" s="1838"/>
      <c r="FK43" s="1838"/>
      <c r="FL43" s="1838"/>
      <c r="FM43" s="1838"/>
      <c r="FN43" s="1838"/>
      <c r="FO43" s="1838"/>
      <c r="FP43" s="1838"/>
      <c r="FQ43" s="1838"/>
      <c r="FR43" s="1838"/>
      <c r="FS43" s="1838"/>
      <c r="FT43" s="1838"/>
      <c r="FU43" s="1838"/>
      <c r="FV43" s="1838"/>
      <c r="FW43" s="1838"/>
      <c r="FX43" s="1838"/>
      <c r="FY43" s="1838"/>
      <c r="FZ43" s="1838"/>
      <c r="GA43" s="1838"/>
      <c r="GB43" s="1838"/>
      <c r="GC43" s="1838"/>
      <c r="GD43" s="1838"/>
      <c r="GE43" s="1838"/>
      <c r="GF43" s="1838"/>
      <c r="GG43" s="1838"/>
      <c r="GH43" s="1838"/>
      <c r="GI43" s="1838"/>
      <c r="GJ43" s="1838"/>
      <c r="GK43" s="1838"/>
      <c r="GL43" s="1838"/>
      <c r="GM43" s="1838"/>
      <c r="GN43" s="1838"/>
      <c r="GO43" s="1838"/>
      <c r="GP43" s="1838"/>
      <c r="GQ43" s="1838"/>
      <c r="GR43" s="1838"/>
      <c r="GS43" s="1838"/>
      <c r="GT43" s="1838"/>
      <c r="GU43" s="1838"/>
      <c r="GV43" s="1838"/>
      <c r="GW43" s="1838"/>
      <c r="GX43" s="1838"/>
      <c r="GY43" s="1838"/>
      <c r="GZ43" s="1838"/>
      <c r="HA43" s="1838"/>
      <c r="HB43" s="1838"/>
      <c r="HC43" s="1838"/>
      <c r="HD43" s="1838"/>
      <c r="HE43" s="1838"/>
      <c r="HF43" s="1838"/>
      <c r="HG43" s="1838"/>
      <c r="HH43" s="1838"/>
      <c r="HI43" s="1838"/>
      <c r="HJ43" s="1838"/>
      <c r="HK43" s="1838"/>
      <c r="HL43" s="1838"/>
      <c r="HM43" s="1838"/>
      <c r="HN43" s="1838"/>
      <c r="HO43" s="1838"/>
      <c r="HP43" s="1838"/>
      <c r="HQ43" s="1838"/>
      <c r="HR43" s="1838"/>
      <c r="HS43" s="1838"/>
      <c r="HT43" s="1838"/>
      <c r="HU43" s="1838"/>
      <c r="HV43" s="1838"/>
      <c r="HW43" s="1838"/>
      <c r="HX43" s="1838"/>
      <c r="HY43" s="1838"/>
      <c r="HZ43" s="1838"/>
      <c r="IA43" s="1838"/>
      <c r="IB43" s="1838"/>
      <c r="IC43" s="1838"/>
      <c r="ID43" s="1838"/>
      <c r="IE43" s="1838"/>
      <c r="IF43" s="1838"/>
      <c r="IG43" s="1838"/>
      <c r="IH43" s="1838"/>
      <c r="II43" s="1838"/>
      <c r="IJ43" s="1838"/>
      <c r="IK43" s="1838"/>
      <c r="IL43" s="1838"/>
      <c r="IM43" s="1838"/>
      <c r="IN43" s="1838"/>
      <c r="IO43" s="1838"/>
      <c r="IP43" s="1838"/>
      <c r="IQ43" s="1838"/>
      <c r="IR43" s="1838"/>
      <c r="IS43" s="1838"/>
      <c r="IT43" s="1838"/>
      <c r="IU43" s="1838"/>
      <c r="IV43" s="1838"/>
    </row>
    <row r="44" spans="1:256">
      <c r="A44" s="1831">
        <f>+A40+1</f>
        <v>24</v>
      </c>
      <c r="B44" s="1828" t="s">
        <v>515</v>
      </c>
      <c r="C44" s="1149">
        <f>+H38</f>
        <v>0</v>
      </c>
      <c r="D44" s="1149">
        <f>C44</f>
        <v>0</v>
      </c>
      <c r="E44" s="1828"/>
      <c r="F44" s="964">
        <v>365</v>
      </c>
      <c r="G44" s="1839">
        <f>F44/$F$18</f>
        <v>1</v>
      </c>
      <c r="H44" s="1149">
        <f>C44*G44</f>
        <v>0</v>
      </c>
      <c r="I44" s="1149">
        <f>H44</f>
        <v>0</v>
      </c>
      <c r="J44" s="1827"/>
      <c r="K44" s="1827"/>
      <c r="L44" s="1827"/>
      <c r="M44" s="1827"/>
      <c r="N44" s="1827"/>
      <c r="O44" s="1827"/>
      <c r="P44" s="1827"/>
      <c r="Q44" s="1827"/>
      <c r="R44" s="1827"/>
      <c r="S44" s="1827"/>
      <c r="T44" s="1827"/>
      <c r="U44" s="1827"/>
      <c r="V44" s="1827"/>
      <c r="W44" s="1827"/>
      <c r="X44" s="1827"/>
      <c r="Y44" s="1827"/>
      <c r="Z44" s="1827"/>
      <c r="AA44" s="1827"/>
      <c r="AB44" s="1827"/>
      <c r="AC44" s="1827"/>
      <c r="AD44" s="1827"/>
      <c r="AE44" s="1827"/>
      <c r="AF44" s="1827"/>
      <c r="AG44" s="1827"/>
      <c r="AH44" s="1827"/>
      <c r="AI44" s="1827"/>
      <c r="AJ44" s="1827"/>
      <c r="AK44" s="1827"/>
      <c r="AL44" s="1827"/>
      <c r="AM44" s="1827"/>
      <c r="AN44" s="1827"/>
      <c r="AO44" s="1827"/>
      <c r="AP44" s="1827"/>
      <c r="AQ44" s="1827"/>
      <c r="AR44" s="1827"/>
      <c r="AS44" s="1827"/>
      <c r="AT44" s="1827"/>
      <c r="AU44" s="1827"/>
      <c r="AV44" s="1827"/>
      <c r="AW44" s="1827"/>
      <c r="AX44" s="1827"/>
      <c r="AY44" s="1827"/>
      <c r="AZ44" s="1827"/>
      <c r="BA44" s="1827"/>
      <c r="BB44" s="1827"/>
      <c r="BC44" s="1827"/>
      <c r="BD44" s="1827"/>
      <c r="BE44" s="1827"/>
      <c r="BF44" s="1827"/>
      <c r="BG44" s="1827"/>
      <c r="BH44" s="1827"/>
      <c r="BI44" s="1827"/>
      <c r="BJ44" s="1827"/>
      <c r="BK44" s="1827"/>
      <c r="BL44" s="1827"/>
      <c r="BM44" s="1827"/>
      <c r="BN44" s="1827"/>
      <c r="BO44" s="1827"/>
      <c r="BP44" s="1827"/>
      <c r="BQ44" s="1827"/>
      <c r="BR44" s="1827"/>
      <c r="BS44" s="1827"/>
      <c r="BT44" s="1827"/>
      <c r="BU44" s="1827"/>
      <c r="BV44" s="1827"/>
      <c r="BW44" s="1827"/>
      <c r="BX44" s="1827"/>
      <c r="BY44" s="1827"/>
      <c r="BZ44" s="1827"/>
      <c r="CA44" s="1827"/>
      <c r="CB44" s="1827"/>
      <c r="CC44" s="1827"/>
      <c r="CD44" s="1827"/>
      <c r="CE44" s="1827"/>
      <c r="CF44" s="1827"/>
      <c r="CG44" s="1827"/>
      <c r="CH44" s="1827"/>
      <c r="CI44" s="1827"/>
      <c r="CJ44" s="1827"/>
      <c r="CK44" s="1827"/>
      <c r="CL44" s="1827"/>
      <c r="CM44" s="1827"/>
      <c r="CN44" s="1827"/>
      <c r="CO44" s="1827"/>
      <c r="CP44" s="1827"/>
      <c r="CQ44" s="1827"/>
      <c r="CR44" s="1827"/>
      <c r="CS44" s="1827"/>
      <c r="CT44" s="1827"/>
      <c r="CU44" s="1827"/>
      <c r="CV44" s="1827"/>
      <c r="CW44" s="1827"/>
      <c r="CX44" s="1827"/>
      <c r="CY44" s="1827"/>
      <c r="CZ44" s="1827"/>
      <c r="DA44" s="1827"/>
      <c r="DB44" s="1827"/>
      <c r="DC44" s="1827"/>
      <c r="DD44" s="1827"/>
      <c r="DE44" s="1827"/>
      <c r="DF44" s="1827"/>
      <c r="DG44" s="1827"/>
      <c r="DH44" s="1827"/>
      <c r="DI44" s="1827"/>
      <c r="DJ44" s="1827"/>
      <c r="DK44" s="1827"/>
      <c r="DL44" s="1827"/>
      <c r="DM44" s="1827"/>
      <c r="DN44" s="1827"/>
      <c r="DO44" s="1827"/>
      <c r="DP44" s="1827"/>
      <c r="DQ44" s="1827"/>
      <c r="DR44" s="1827"/>
      <c r="DS44" s="1827"/>
      <c r="DT44" s="1827"/>
      <c r="DU44" s="1827"/>
      <c r="DV44" s="1827"/>
      <c r="DW44" s="1827"/>
      <c r="DX44" s="1827"/>
      <c r="DY44" s="1827"/>
      <c r="DZ44" s="1827"/>
      <c r="EA44" s="1827"/>
      <c r="EB44" s="1827"/>
      <c r="EC44" s="1827"/>
      <c r="ED44" s="1827"/>
      <c r="EE44" s="1827"/>
      <c r="EF44" s="1827"/>
      <c r="EG44" s="1827"/>
      <c r="EH44" s="1827"/>
      <c r="EI44" s="1827"/>
      <c r="EJ44" s="1827"/>
      <c r="EK44" s="1827"/>
      <c r="EL44" s="1827"/>
      <c r="EM44" s="1827"/>
      <c r="EN44" s="1827"/>
      <c r="EO44" s="1827"/>
      <c r="EP44" s="1827"/>
      <c r="EQ44" s="1827"/>
      <c r="ER44" s="1827"/>
      <c r="ES44" s="1827"/>
      <c r="ET44" s="1827"/>
      <c r="EU44" s="1827"/>
      <c r="EV44" s="1827"/>
      <c r="EW44" s="1827"/>
      <c r="EX44" s="1827"/>
      <c r="EY44" s="1827"/>
      <c r="EZ44" s="1827"/>
      <c r="FA44" s="1827"/>
      <c r="FB44" s="1827"/>
      <c r="FC44" s="1827"/>
      <c r="FD44" s="1827"/>
      <c r="FE44" s="1827"/>
      <c r="FF44" s="1827"/>
      <c r="FG44" s="1827"/>
      <c r="FH44" s="1827"/>
      <c r="FI44" s="1827"/>
      <c r="FJ44" s="1827"/>
      <c r="FK44" s="1827"/>
      <c r="FL44" s="1827"/>
      <c r="FM44" s="1827"/>
      <c r="FN44" s="1827"/>
      <c r="FO44" s="1827"/>
      <c r="FP44" s="1827"/>
      <c r="FQ44" s="1827"/>
      <c r="FR44" s="1827"/>
      <c r="FS44" s="1827"/>
      <c r="FT44" s="1827"/>
      <c r="FU44" s="1827"/>
      <c r="FV44" s="1827"/>
      <c r="FW44" s="1827"/>
      <c r="FX44" s="1827"/>
      <c r="FY44" s="1827"/>
      <c r="FZ44" s="1827"/>
      <c r="GA44" s="1827"/>
      <c r="GB44" s="1827"/>
      <c r="GC44" s="1827"/>
      <c r="GD44" s="1827"/>
      <c r="GE44" s="1827"/>
      <c r="GF44" s="1827"/>
      <c r="GG44" s="1827"/>
      <c r="GH44" s="1827"/>
      <c r="GI44" s="1827"/>
      <c r="GJ44" s="1827"/>
      <c r="GK44" s="1827"/>
      <c r="GL44" s="1827"/>
      <c r="GM44" s="1827"/>
      <c r="GN44" s="1827"/>
      <c r="GO44" s="1827"/>
      <c r="GP44" s="1827"/>
      <c r="GQ44" s="1827"/>
      <c r="GR44" s="1827"/>
      <c r="GS44" s="1827"/>
      <c r="GT44" s="1827"/>
      <c r="GU44" s="1827"/>
      <c r="GV44" s="1827"/>
      <c r="GW44" s="1827"/>
      <c r="GX44" s="1827"/>
      <c r="GY44" s="1827"/>
      <c r="GZ44" s="1827"/>
      <c r="HA44" s="1827"/>
      <c r="HB44" s="1827"/>
      <c r="HC44" s="1827"/>
      <c r="HD44" s="1827"/>
      <c r="HE44" s="1827"/>
      <c r="HF44" s="1827"/>
      <c r="HG44" s="1827"/>
      <c r="HH44" s="1827"/>
      <c r="HI44" s="1827"/>
      <c r="HJ44" s="1827"/>
      <c r="HK44" s="1827"/>
      <c r="HL44" s="1827"/>
      <c r="HM44" s="1827"/>
      <c r="HN44" s="1827"/>
      <c r="HO44" s="1827"/>
      <c r="HP44" s="1827"/>
      <c r="HQ44" s="1827"/>
      <c r="HR44" s="1827"/>
      <c r="HS44" s="1827"/>
      <c r="HT44" s="1827"/>
      <c r="HU44" s="1827"/>
      <c r="HV44" s="1827"/>
      <c r="HW44" s="1827"/>
      <c r="HX44" s="1827"/>
      <c r="HY44" s="1827"/>
      <c r="HZ44" s="1827"/>
      <c r="IA44" s="1827"/>
      <c r="IB44" s="1827"/>
      <c r="IC44" s="1827"/>
      <c r="ID44" s="1827"/>
      <c r="IE44" s="1827"/>
      <c r="IF44" s="1827"/>
      <c r="IG44" s="1827"/>
      <c r="IH44" s="1827"/>
      <c r="II44" s="1827"/>
      <c r="IJ44" s="1827"/>
      <c r="IK44" s="1827"/>
      <c r="IL44" s="1827"/>
      <c r="IM44" s="1827"/>
      <c r="IN44" s="1827"/>
      <c r="IO44" s="1827"/>
      <c r="IP44" s="1827"/>
      <c r="IQ44" s="1827"/>
      <c r="IR44" s="1827"/>
      <c r="IS44" s="1827"/>
      <c r="IT44" s="1827"/>
      <c r="IU44" s="1827"/>
      <c r="IV44" s="1827"/>
    </row>
    <row r="45" spans="1:256">
      <c r="A45" s="1831">
        <f>+A44+1</f>
        <v>25</v>
      </c>
      <c r="B45" s="1828" t="s">
        <v>516</v>
      </c>
      <c r="C45" s="1149">
        <f>+$H$40</f>
        <v>0</v>
      </c>
      <c r="D45" s="1149">
        <f>D44+C45</f>
        <v>0</v>
      </c>
      <c r="E45" s="1828">
        <v>31</v>
      </c>
      <c r="F45" s="964">
        <v>335</v>
      </c>
      <c r="G45" s="1839">
        <f t="shared" ref="G45:G56" si="6">F45/$F$18</f>
        <v>0.9178082191780822</v>
      </c>
      <c r="H45" s="1149">
        <f t="shared" ref="H45:H56" si="7">C45*G45</f>
        <v>0</v>
      </c>
      <c r="I45" s="1149">
        <f t="shared" ref="I45:I56" si="8">I44+H45</f>
        <v>0</v>
      </c>
      <c r="J45" s="1827"/>
      <c r="K45" s="1827"/>
      <c r="L45" s="1827"/>
      <c r="M45" s="1827"/>
      <c r="N45" s="1827"/>
      <c r="O45" s="1827"/>
      <c r="P45" s="1827"/>
      <c r="Q45" s="1827"/>
      <c r="R45" s="1827"/>
      <c r="S45" s="1827"/>
      <c r="T45" s="1827"/>
      <c r="U45" s="1827"/>
      <c r="V45" s="1827"/>
      <c r="W45" s="1827"/>
      <c r="X45" s="1827"/>
      <c r="Y45" s="1827"/>
      <c r="Z45" s="1827"/>
      <c r="AA45" s="1827"/>
      <c r="AB45" s="1827"/>
      <c r="AC45" s="1827"/>
      <c r="AD45" s="1827"/>
      <c r="AE45" s="1827"/>
      <c r="AF45" s="1827"/>
      <c r="AG45" s="1827"/>
      <c r="AH45" s="1827"/>
      <c r="AI45" s="1827"/>
      <c r="AJ45" s="1827"/>
      <c r="AK45" s="1827"/>
      <c r="AL45" s="1827"/>
      <c r="AM45" s="1827"/>
      <c r="AN45" s="1827"/>
      <c r="AO45" s="1827"/>
      <c r="AP45" s="1827"/>
      <c r="AQ45" s="1827"/>
      <c r="AR45" s="1827"/>
      <c r="AS45" s="1827"/>
      <c r="AT45" s="1827"/>
      <c r="AU45" s="1827"/>
      <c r="AV45" s="1827"/>
      <c r="AW45" s="1827"/>
      <c r="AX45" s="1827"/>
      <c r="AY45" s="1827"/>
      <c r="AZ45" s="1827"/>
      <c r="BA45" s="1827"/>
      <c r="BB45" s="1827"/>
      <c r="BC45" s="1827"/>
      <c r="BD45" s="1827"/>
      <c r="BE45" s="1827"/>
      <c r="BF45" s="1827"/>
      <c r="BG45" s="1827"/>
      <c r="BH45" s="1827"/>
      <c r="BI45" s="1827"/>
      <c r="BJ45" s="1827"/>
      <c r="BK45" s="1827"/>
      <c r="BL45" s="1827"/>
      <c r="BM45" s="1827"/>
      <c r="BN45" s="1827"/>
      <c r="BO45" s="1827"/>
      <c r="BP45" s="1827"/>
      <c r="BQ45" s="1827"/>
      <c r="BR45" s="1827"/>
      <c r="BS45" s="1827"/>
      <c r="BT45" s="1827"/>
      <c r="BU45" s="1827"/>
      <c r="BV45" s="1827"/>
      <c r="BW45" s="1827"/>
      <c r="BX45" s="1827"/>
      <c r="BY45" s="1827"/>
      <c r="BZ45" s="1827"/>
      <c r="CA45" s="1827"/>
      <c r="CB45" s="1827"/>
      <c r="CC45" s="1827"/>
      <c r="CD45" s="1827"/>
      <c r="CE45" s="1827"/>
      <c r="CF45" s="1827"/>
      <c r="CG45" s="1827"/>
      <c r="CH45" s="1827"/>
      <c r="CI45" s="1827"/>
      <c r="CJ45" s="1827"/>
      <c r="CK45" s="1827"/>
      <c r="CL45" s="1827"/>
      <c r="CM45" s="1827"/>
      <c r="CN45" s="1827"/>
      <c r="CO45" s="1827"/>
      <c r="CP45" s="1827"/>
      <c r="CQ45" s="1827"/>
      <c r="CR45" s="1827"/>
      <c r="CS45" s="1827"/>
      <c r="CT45" s="1827"/>
      <c r="CU45" s="1827"/>
      <c r="CV45" s="1827"/>
      <c r="CW45" s="1827"/>
      <c r="CX45" s="1827"/>
      <c r="CY45" s="1827"/>
      <c r="CZ45" s="1827"/>
      <c r="DA45" s="1827"/>
      <c r="DB45" s="1827"/>
      <c r="DC45" s="1827"/>
      <c r="DD45" s="1827"/>
      <c r="DE45" s="1827"/>
      <c r="DF45" s="1827"/>
      <c r="DG45" s="1827"/>
      <c r="DH45" s="1827"/>
      <c r="DI45" s="1827"/>
      <c r="DJ45" s="1827"/>
      <c r="DK45" s="1827"/>
      <c r="DL45" s="1827"/>
      <c r="DM45" s="1827"/>
      <c r="DN45" s="1827"/>
      <c r="DO45" s="1827"/>
      <c r="DP45" s="1827"/>
      <c r="DQ45" s="1827"/>
      <c r="DR45" s="1827"/>
      <c r="DS45" s="1827"/>
      <c r="DT45" s="1827"/>
      <c r="DU45" s="1827"/>
      <c r="DV45" s="1827"/>
      <c r="DW45" s="1827"/>
      <c r="DX45" s="1827"/>
      <c r="DY45" s="1827"/>
      <c r="DZ45" s="1827"/>
      <c r="EA45" s="1827"/>
      <c r="EB45" s="1827"/>
      <c r="EC45" s="1827"/>
      <c r="ED45" s="1827"/>
      <c r="EE45" s="1827"/>
      <c r="EF45" s="1827"/>
      <c r="EG45" s="1827"/>
      <c r="EH45" s="1827"/>
      <c r="EI45" s="1827"/>
      <c r="EJ45" s="1827"/>
      <c r="EK45" s="1827"/>
      <c r="EL45" s="1827"/>
      <c r="EM45" s="1827"/>
      <c r="EN45" s="1827"/>
      <c r="EO45" s="1827"/>
      <c r="EP45" s="1827"/>
      <c r="EQ45" s="1827"/>
      <c r="ER45" s="1827"/>
      <c r="ES45" s="1827"/>
      <c r="ET45" s="1827"/>
      <c r="EU45" s="1827"/>
      <c r="EV45" s="1827"/>
      <c r="EW45" s="1827"/>
      <c r="EX45" s="1827"/>
      <c r="EY45" s="1827"/>
      <c r="EZ45" s="1827"/>
      <c r="FA45" s="1827"/>
      <c r="FB45" s="1827"/>
      <c r="FC45" s="1827"/>
      <c r="FD45" s="1827"/>
      <c r="FE45" s="1827"/>
      <c r="FF45" s="1827"/>
      <c r="FG45" s="1827"/>
      <c r="FH45" s="1827"/>
      <c r="FI45" s="1827"/>
      <c r="FJ45" s="1827"/>
      <c r="FK45" s="1827"/>
      <c r="FL45" s="1827"/>
      <c r="FM45" s="1827"/>
      <c r="FN45" s="1827"/>
      <c r="FO45" s="1827"/>
      <c r="FP45" s="1827"/>
      <c r="FQ45" s="1827"/>
      <c r="FR45" s="1827"/>
      <c r="FS45" s="1827"/>
      <c r="FT45" s="1827"/>
      <c r="FU45" s="1827"/>
      <c r="FV45" s="1827"/>
      <c r="FW45" s="1827"/>
      <c r="FX45" s="1827"/>
      <c r="FY45" s="1827"/>
      <c r="FZ45" s="1827"/>
      <c r="GA45" s="1827"/>
      <c r="GB45" s="1827"/>
      <c r="GC45" s="1827"/>
      <c r="GD45" s="1827"/>
      <c r="GE45" s="1827"/>
      <c r="GF45" s="1827"/>
      <c r="GG45" s="1827"/>
      <c r="GH45" s="1827"/>
      <c r="GI45" s="1827"/>
      <c r="GJ45" s="1827"/>
      <c r="GK45" s="1827"/>
      <c r="GL45" s="1827"/>
      <c r="GM45" s="1827"/>
      <c r="GN45" s="1827"/>
      <c r="GO45" s="1827"/>
      <c r="GP45" s="1827"/>
      <c r="GQ45" s="1827"/>
      <c r="GR45" s="1827"/>
      <c r="GS45" s="1827"/>
      <c r="GT45" s="1827"/>
      <c r="GU45" s="1827"/>
      <c r="GV45" s="1827"/>
      <c r="GW45" s="1827"/>
      <c r="GX45" s="1827"/>
      <c r="GY45" s="1827"/>
      <c r="GZ45" s="1827"/>
      <c r="HA45" s="1827"/>
      <c r="HB45" s="1827"/>
      <c r="HC45" s="1827"/>
      <c r="HD45" s="1827"/>
      <c r="HE45" s="1827"/>
      <c r="HF45" s="1827"/>
      <c r="HG45" s="1827"/>
      <c r="HH45" s="1827"/>
      <c r="HI45" s="1827"/>
      <c r="HJ45" s="1827"/>
      <c r="HK45" s="1827"/>
      <c r="HL45" s="1827"/>
      <c r="HM45" s="1827"/>
      <c r="HN45" s="1827"/>
      <c r="HO45" s="1827"/>
      <c r="HP45" s="1827"/>
      <c r="HQ45" s="1827"/>
      <c r="HR45" s="1827"/>
      <c r="HS45" s="1827"/>
      <c r="HT45" s="1827"/>
      <c r="HU45" s="1827"/>
      <c r="HV45" s="1827"/>
      <c r="HW45" s="1827"/>
      <c r="HX45" s="1827"/>
      <c r="HY45" s="1827"/>
      <c r="HZ45" s="1827"/>
      <c r="IA45" s="1827"/>
      <c r="IB45" s="1827"/>
      <c r="IC45" s="1827"/>
      <c r="ID45" s="1827"/>
      <c r="IE45" s="1827"/>
      <c r="IF45" s="1827"/>
      <c r="IG45" s="1827"/>
      <c r="IH45" s="1827"/>
      <c r="II45" s="1827"/>
      <c r="IJ45" s="1827"/>
      <c r="IK45" s="1827"/>
      <c r="IL45" s="1827"/>
      <c r="IM45" s="1827"/>
      <c r="IN45" s="1827"/>
      <c r="IO45" s="1827"/>
      <c r="IP45" s="1827"/>
      <c r="IQ45" s="1827"/>
      <c r="IR45" s="1827"/>
      <c r="IS45" s="1827"/>
      <c r="IT45" s="1827"/>
      <c r="IU45" s="1827"/>
      <c r="IV45" s="1827"/>
    </row>
    <row r="46" spans="1:256">
      <c r="A46" s="1831">
        <f t="shared" ref="A46:A56" si="9">+A45+1</f>
        <v>26</v>
      </c>
      <c r="B46" s="1828" t="s">
        <v>517</v>
      </c>
      <c r="C46" s="1149">
        <f t="shared" ref="C46:C56" si="10">+$H$40</f>
        <v>0</v>
      </c>
      <c r="D46" s="1149">
        <f>D45+C46</f>
        <v>0</v>
      </c>
      <c r="E46" s="964">
        <v>28</v>
      </c>
      <c r="F46" s="964">
        <v>307</v>
      </c>
      <c r="G46" s="1839">
        <f t="shared" si="6"/>
        <v>0.84109589041095889</v>
      </c>
      <c r="H46" s="1149">
        <f t="shared" si="7"/>
        <v>0</v>
      </c>
      <c r="I46" s="1149">
        <f t="shared" si="8"/>
        <v>0</v>
      </c>
      <c r="J46" s="1827"/>
      <c r="K46" s="1827"/>
      <c r="L46" s="1827"/>
      <c r="M46" s="1827"/>
      <c r="N46" s="1827"/>
      <c r="O46" s="1827"/>
      <c r="P46" s="1827"/>
      <c r="Q46" s="1827"/>
      <c r="R46" s="1827"/>
      <c r="S46" s="1827"/>
      <c r="T46" s="1827"/>
      <c r="U46" s="1827"/>
      <c r="V46" s="1827"/>
      <c r="W46" s="1827"/>
      <c r="X46" s="1827"/>
      <c r="Y46" s="1827"/>
      <c r="Z46" s="1827"/>
      <c r="AA46" s="1827"/>
      <c r="AB46" s="1827"/>
      <c r="AC46" s="1827"/>
      <c r="AD46" s="1827"/>
      <c r="AE46" s="1827"/>
      <c r="AF46" s="1827"/>
      <c r="AG46" s="1827"/>
      <c r="AH46" s="1827"/>
      <c r="AI46" s="1827"/>
      <c r="AJ46" s="1827"/>
      <c r="AK46" s="1827"/>
      <c r="AL46" s="1827"/>
      <c r="AM46" s="1827"/>
      <c r="AN46" s="1827"/>
      <c r="AO46" s="1827"/>
      <c r="AP46" s="1827"/>
      <c r="AQ46" s="1827"/>
      <c r="AR46" s="1827"/>
      <c r="AS46" s="1827"/>
      <c r="AT46" s="1827"/>
      <c r="AU46" s="1827"/>
      <c r="AV46" s="1827"/>
      <c r="AW46" s="1827"/>
      <c r="AX46" s="1827"/>
      <c r="AY46" s="1827"/>
      <c r="AZ46" s="1827"/>
      <c r="BA46" s="1827"/>
      <c r="BB46" s="1827"/>
      <c r="BC46" s="1827"/>
      <c r="BD46" s="1827"/>
      <c r="BE46" s="1827"/>
      <c r="BF46" s="1827"/>
      <c r="BG46" s="1827"/>
      <c r="BH46" s="1827"/>
      <c r="BI46" s="1827"/>
      <c r="BJ46" s="1827"/>
      <c r="BK46" s="1827"/>
      <c r="BL46" s="1827"/>
      <c r="BM46" s="1827"/>
      <c r="BN46" s="1827"/>
      <c r="BO46" s="1827"/>
      <c r="BP46" s="1827"/>
      <c r="BQ46" s="1827"/>
      <c r="BR46" s="1827"/>
      <c r="BS46" s="1827"/>
      <c r="BT46" s="1827"/>
      <c r="BU46" s="1827"/>
      <c r="BV46" s="1827"/>
      <c r="BW46" s="1827"/>
      <c r="BX46" s="1827"/>
      <c r="BY46" s="1827"/>
      <c r="BZ46" s="1827"/>
      <c r="CA46" s="1827"/>
      <c r="CB46" s="1827"/>
      <c r="CC46" s="1827"/>
      <c r="CD46" s="1827"/>
      <c r="CE46" s="1827"/>
      <c r="CF46" s="1827"/>
      <c r="CG46" s="1827"/>
      <c r="CH46" s="1827"/>
      <c r="CI46" s="1827"/>
      <c r="CJ46" s="1827"/>
      <c r="CK46" s="1827"/>
      <c r="CL46" s="1827"/>
      <c r="CM46" s="1827"/>
      <c r="CN46" s="1827"/>
      <c r="CO46" s="1827"/>
      <c r="CP46" s="1827"/>
      <c r="CQ46" s="1827"/>
      <c r="CR46" s="1827"/>
      <c r="CS46" s="1827"/>
      <c r="CT46" s="1827"/>
      <c r="CU46" s="1827"/>
      <c r="CV46" s="1827"/>
      <c r="CW46" s="1827"/>
      <c r="CX46" s="1827"/>
      <c r="CY46" s="1827"/>
      <c r="CZ46" s="1827"/>
      <c r="DA46" s="1827"/>
      <c r="DB46" s="1827"/>
      <c r="DC46" s="1827"/>
      <c r="DD46" s="1827"/>
      <c r="DE46" s="1827"/>
      <c r="DF46" s="1827"/>
      <c r="DG46" s="1827"/>
      <c r="DH46" s="1827"/>
      <c r="DI46" s="1827"/>
      <c r="DJ46" s="1827"/>
      <c r="DK46" s="1827"/>
      <c r="DL46" s="1827"/>
      <c r="DM46" s="1827"/>
      <c r="DN46" s="1827"/>
      <c r="DO46" s="1827"/>
      <c r="DP46" s="1827"/>
      <c r="DQ46" s="1827"/>
      <c r="DR46" s="1827"/>
      <c r="DS46" s="1827"/>
      <c r="DT46" s="1827"/>
      <c r="DU46" s="1827"/>
      <c r="DV46" s="1827"/>
      <c r="DW46" s="1827"/>
      <c r="DX46" s="1827"/>
      <c r="DY46" s="1827"/>
      <c r="DZ46" s="1827"/>
      <c r="EA46" s="1827"/>
      <c r="EB46" s="1827"/>
      <c r="EC46" s="1827"/>
      <c r="ED46" s="1827"/>
      <c r="EE46" s="1827"/>
      <c r="EF46" s="1827"/>
      <c r="EG46" s="1827"/>
      <c r="EH46" s="1827"/>
      <c r="EI46" s="1827"/>
      <c r="EJ46" s="1827"/>
      <c r="EK46" s="1827"/>
      <c r="EL46" s="1827"/>
      <c r="EM46" s="1827"/>
      <c r="EN46" s="1827"/>
      <c r="EO46" s="1827"/>
      <c r="EP46" s="1827"/>
      <c r="EQ46" s="1827"/>
      <c r="ER46" s="1827"/>
      <c r="ES46" s="1827"/>
      <c r="ET46" s="1827"/>
      <c r="EU46" s="1827"/>
      <c r="EV46" s="1827"/>
      <c r="EW46" s="1827"/>
      <c r="EX46" s="1827"/>
      <c r="EY46" s="1827"/>
      <c r="EZ46" s="1827"/>
      <c r="FA46" s="1827"/>
      <c r="FB46" s="1827"/>
      <c r="FC46" s="1827"/>
      <c r="FD46" s="1827"/>
      <c r="FE46" s="1827"/>
      <c r="FF46" s="1827"/>
      <c r="FG46" s="1827"/>
      <c r="FH46" s="1827"/>
      <c r="FI46" s="1827"/>
      <c r="FJ46" s="1827"/>
      <c r="FK46" s="1827"/>
      <c r="FL46" s="1827"/>
      <c r="FM46" s="1827"/>
      <c r="FN46" s="1827"/>
      <c r="FO46" s="1827"/>
      <c r="FP46" s="1827"/>
      <c r="FQ46" s="1827"/>
      <c r="FR46" s="1827"/>
      <c r="FS46" s="1827"/>
      <c r="FT46" s="1827"/>
      <c r="FU46" s="1827"/>
      <c r="FV46" s="1827"/>
      <c r="FW46" s="1827"/>
      <c r="FX46" s="1827"/>
      <c r="FY46" s="1827"/>
      <c r="FZ46" s="1827"/>
      <c r="GA46" s="1827"/>
      <c r="GB46" s="1827"/>
      <c r="GC46" s="1827"/>
      <c r="GD46" s="1827"/>
      <c r="GE46" s="1827"/>
      <c r="GF46" s="1827"/>
      <c r="GG46" s="1827"/>
      <c r="GH46" s="1827"/>
      <c r="GI46" s="1827"/>
      <c r="GJ46" s="1827"/>
      <c r="GK46" s="1827"/>
      <c r="GL46" s="1827"/>
      <c r="GM46" s="1827"/>
      <c r="GN46" s="1827"/>
      <c r="GO46" s="1827"/>
      <c r="GP46" s="1827"/>
      <c r="GQ46" s="1827"/>
      <c r="GR46" s="1827"/>
      <c r="GS46" s="1827"/>
      <c r="GT46" s="1827"/>
      <c r="GU46" s="1827"/>
      <c r="GV46" s="1827"/>
      <c r="GW46" s="1827"/>
      <c r="GX46" s="1827"/>
      <c r="GY46" s="1827"/>
      <c r="GZ46" s="1827"/>
      <c r="HA46" s="1827"/>
      <c r="HB46" s="1827"/>
      <c r="HC46" s="1827"/>
      <c r="HD46" s="1827"/>
      <c r="HE46" s="1827"/>
      <c r="HF46" s="1827"/>
      <c r="HG46" s="1827"/>
      <c r="HH46" s="1827"/>
      <c r="HI46" s="1827"/>
      <c r="HJ46" s="1827"/>
      <c r="HK46" s="1827"/>
      <c r="HL46" s="1827"/>
      <c r="HM46" s="1827"/>
      <c r="HN46" s="1827"/>
      <c r="HO46" s="1827"/>
      <c r="HP46" s="1827"/>
      <c r="HQ46" s="1827"/>
      <c r="HR46" s="1827"/>
      <c r="HS46" s="1827"/>
      <c r="HT46" s="1827"/>
      <c r="HU46" s="1827"/>
      <c r="HV46" s="1827"/>
      <c r="HW46" s="1827"/>
      <c r="HX46" s="1827"/>
      <c r="HY46" s="1827"/>
      <c r="HZ46" s="1827"/>
      <c r="IA46" s="1827"/>
      <c r="IB46" s="1827"/>
      <c r="IC46" s="1827"/>
      <c r="ID46" s="1827"/>
      <c r="IE46" s="1827"/>
      <c r="IF46" s="1827"/>
      <c r="IG46" s="1827"/>
      <c r="IH46" s="1827"/>
      <c r="II46" s="1827"/>
      <c r="IJ46" s="1827"/>
      <c r="IK46" s="1827"/>
      <c r="IL46" s="1827"/>
      <c r="IM46" s="1827"/>
      <c r="IN46" s="1827"/>
      <c r="IO46" s="1827"/>
      <c r="IP46" s="1827"/>
      <c r="IQ46" s="1827"/>
      <c r="IR46" s="1827"/>
      <c r="IS46" s="1827"/>
      <c r="IT46" s="1827"/>
      <c r="IU46" s="1827"/>
      <c r="IV46" s="1827"/>
    </row>
    <row r="47" spans="1:256">
      <c r="A47" s="1831">
        <f t="shared" si="9"/>
        <v>27</v>
      </c>
      <c r="B47" s="1828" t="s">
        <v>325</v>
      </c>
      <c r="C47" s="1149">
        <f t="shared" si="10"/>
        <v>0</v>
      </c>
      <c r="D47" s="1149">
        <f>D46+C47</f>
        <v>0</v>
      </c>
      <c r="E47" s="1828">
        <v>31</v>
      </c>
      <c r="F47" s="964">
        <v>276</v>
      </c>
      <c r="G47" s="1839">
        <f t="shared" si="6"/>
        <v>0.75616438356164384</v>
      </c>
      <c r="H47" s="1149">
        <f t="shared" si="7"/>
        <v>0</v>
      </c>
      <c r="I47" s="1149">
        <f t="shared" si="8"/>
        <v>0</v>
      </c>
      <c r="J47" s="1827"/>
      <c r="K47" s="1827"/>
      <c r="L47" s="1827"/>
      <c r="M47" s="1827"/>
      <c r="N47" s="1827"/>
      <c r="O47" s="1827"/>
      <c r="P47" s="1827"/>
      <c r="Q47" s="1827"/>
      <c r="R47" s="1827"/>
      <c r="S47" s="1827"/>
      <c r="T47" s="1827"/>
      <c r="U47" s="1827"/>
      <c r="V47" s="1827"/>
      <c r="W47" s="1827"/>
      <c r="X47" s="1827"/>
      <c r="Y47" s="1827"/>
      <c r="Z47" s="1827"/>
      <c r="AA47" s="1827"/>
      <c r="AB47" s="1827"/>
      <c r="AC47" s="1827"/>
      <c r="AD47" s="1827"/>
      <c r="AE47" s="1827"/>
      <c r="AF47" s="1827"/>
      <c r="AG47" s="1827"/>
      <c r="AH47" s="1827"/>
      <c r="AI47" s="1827"/>
      <c r="AJ47" s="1827"/>
      <c r="AK47" s="1827"/>
      <c r="AL47" s="1827"/>
      <c r="AM47" s="1827"/>
      <c r="AN47" s="1827"/>
      <c r="AO47" s="1827"/>
      <c r="AP47" s="1827"/>
      <c r="AQ47" s="1827"/>
      <c r="AR47" s="1827"/>
      <c r="AS47" s="1827"/>
      <c r="AT47" s="1827"/>
      <c r="AU47" s="1827"/>
      <c r="AV47" s="1827"/>
      <c r="AW47" s="1827"/>
      <c r="AX47" s="1827"/>
      <c r="AY47" s="1827"/>
      <c r="AZ47" s="1827"/>
      <c r="BA47" s="1827"/>
      <c r="BB47" s="1827"/>
      <c r="BC47" s="1827"/>
      <c r="BD47" s="1827"/>
      <c r="BE47" s="1827"/>
      <c r="BF47" s="1827"/>
      <c r="BG47" s="1827"/>
      <c r="BH47" s="1827"/>
      <c r="BI47" s="1827"/>
      <c r="BJ47" s="1827"/>
      <c r="BK47" s="1827"/>
      <c r="BL47" s="1827"/>
      <c r="BM47" s="1827"/>
      <c r="BN47" s="1827"/>
      <c r="BO47" s="1827"/>
      <c r="BP47" s="1827"/>
      <c r="BQ47" s="1827"/>
      <c r="BR47" s="1827"/>
      <c r="BS47" s="1827"/>
      <c r="BT47" s="1827"/>
      <c r="BU47" s="1827"/>
      <c r="BV47" s="1827"/>
      <c r="BW47" s="1827"/>
      <c r="BX47" s="1827"/>
      <c r="BY47" s="1827"/>
      <c r="BZ47" s="1827"/>
      <c r="CA47" s="1827"/>
      <c r="CB47" s="1827"/>
      <c r="CC47" s="1827"/>
      <c r="CD47" s="1827"/>
      <c r="CE47" s="1827"/>
      <c r="CF47" s="1827"/>
      <c r="CG47" s="1827"/>
      <c r="CH47" s="1827"/>
      <c r="CI47" s="1827"/>
      <c r="CJ47" s="1827"/>
      <c r="CK47" s="1827"/>
      <c r="CL47" s="1827"/>
      <c r="CM47" s="1827"/>
      <c r="CN47" s="1827"/>
      <c r="CO47" s="1827"/>
      <c r="CP47" s="1827"/>
      <c r="CQ47" s="1827"/>
      <c r="CR47" s="1827"/>
      <c r="CS47" s="1827"/>
      <c r="CT47" s="1827"/>
      <c r="CU47" s="1827"/>
      <c r="CV47" s="1827"/>
      <c r="CW47" s="1827"/>
      <c r="CX47" s="1827"/>
      <c r="CY47" s="1827"/>
      <c r="CZ47" s="1827"/>
      <c r="DA47" s="1827"/>
      <c r="DB47" s="1827"/>
      <c r="DC47" s="1827"/>
      <c r="DD47" s="1827"/>
      <c r="DE47" s="1827"/>
      <c r="DF47" s="1827"/>
      <c r="DG47" s="1827"/>
      <c r="DH47" s="1827"/>
      <c r="DI47" s="1827"/>
      <c r="DJ47" s="1827"/>
      <c r="DK47" s="1827"/>
      <c r="DL47" s="1827"/>
      <c r="DM47" s="1827"/>
      <c r="DN47" s="1827"/>
      <c r="DO47" s="1827"/>
      <c r="DP47" s="1827"/>
      <c r="DQ47" s="1827"/>
      <c r="DR47" s="1827"/>
      <c r="DS47" s="1827"/>
      <c r="DT47" s="1827"/>
      <c r="DU47" s="1827"/>
      <c r="DV47" s="1827"/>
      <c r="DW47" s="1827"/>
      <c r="DX47" s="1827"/>
      <c r="DY47" s="1827"/>
      <c r="DZ47" s="1827"/>
      <c r="EA47" s="1827"/>
      <c r="EB47" s="1827"/>
      <c r="EC47" s="1827"/>
      <c r="ED47" s="1827"/>
      <c r="EE47" s="1827"/>
      <c r="EF47" s="1827"/>
      <c r="EG47" s="1827"/>
      <c r="EH47" s="1827"/>
      <c r="EI47" s="1827"/>
      <c r="EJ47" s="1827"/>
      <c r="EK47" s="1827"/>
      <c r="EL47" s="1827"/>
      <c r="EM47" s="1827"/>
      <c r="EN47" s="1827"/>
      <c r="EO47" s="1827"/>
      <c r="EP47" s="1827"/>
      <c r="EQ47" s="1827"/>
      <c r="ER47" s="1827"/>
      <c r="ES47" s="1827"/>
      <c r="ET47" s="1827"/>
      <c r="EU47" s="1827"/>
      <c r="EV47" s="1827"/>
      <c r="EW47" s="1827"/>
      <c r="EX47" s="1827"/>
      <c r="EY47" s="1827"/>
      <c r="EZ47" s="1827"/>
      <c r="FA47" s="1827"/>
      <c r="FB47" s="1827"/>
      <c r="FC47" s="1827"/>
      <c r="FD47" s="1827"/>
      <c r="FE47" s="1827"/>
      <c r="FF47" s="1827"/>
      <c r="FG47" s="1827"/>
      <c r="FH47" s="1827"/>
      <c r="FI47" s="1827"/>
      <c r="FJ47" s="1827"/>
      <c r="FK47" s="1827"/>
      <c r="FL47" s="1827"/>
      <c r="FM47" s="1827"/>
      <c r="FN47" s="1827"/>
      <c r="FO47" s="1827"/>
      <c r="FP47" s="1827"/>
      <c r="FQ47" s="1827"/>
      <c r="FR47" s="1827"/>
      <c r="FS47" s="1827"/>
      <c r="FT47" s="1827"/>
      <c r="FU47" s="1827"/>
      <c r="FV47" s="1827"/>
      <c r="FW47" s="1827"/>
      <c r="FX47" s="1827"/>
      <c r="FY47" s="1827"/>
      <c r="FZ47" s="1827"/>
      <c r="GA47" s="1827"/>
      <c r="GB47" s="1827"/>
      <c r="GC47" s="1827"/>
      <c r="GD47" s="1827"/>
      <c r="GE47" s="1827"/>
      <c r="GF47" s="1827"/>
      <c r="GG47" s="1827"/>
      <c r="GH47" s="1827"/>
      <c r="GI47" s="1827"/>
      <c r="GJ47" s="1827"/>
      <c r="GK47" s="1827"/>
      <c r="GL47" s="1827"/>
      <c r="GM47" s="1827"/>
      <c r="GN47" s="1827"/>
      <c r="GO47" s="1827"/>
      <c r="GP47" s="1827"/>
      <c r="GQ47" s="1827"/>
      <c r="GR47" s="1827"/>
      <c r="GS47" s="1827"/>
      <c r="GT47" s="1827"/>
      <c r="GU47" s="1827"/>
      <c r="GV47" s="1827"/>
      <c r="GW47" s="1827"/>
      <c r="GX47" s="1827"/>
      <c r="GY47" s="1827"/>
      <c r="GZ47" s="1827"/>
      <c r="HA47" s="1827"/>
      <c r="HB47" s="1827"/>
      <c r="HC47" s="1827"/>
      <c r="HD47" s="1827"/>
      <c r="HE47" s="1827"/>
      <c r="HF47" s="1827"/>
      <c r="HG47" s="1827"/>
      <c r="HH47" s="1827"/>
      <c r="HI47" s="1827"/>
      <c r="HJ47" s="1827"/>
      <c r="HK47" s="1827"/>
      <c r="HL47" s="1827"/>
      <c r="HM47" s="1827"/>
      <c r="HN47" s="1827"/>
      <c r="HO47" s="1827"/>
      <c r="HP47" s="1827"/>
      <c r="HQ47" s="1827"/>
      <c r="HR47" s="1827"/>
      <c r="HS47" s="1827"/>
      <c r="HT47" s="1827"/>
      <c r="HU47" s="1827"/>
      <c r="HV47" s="1827"/>
      <c r="HW47" s="1827"/>
      <c r="HX47" s="1827"/>
      <c r="HY47" s="1827"/>
      <c r="HZ47" s="1827"/>
      <c r="IA47" s="1827"/>
      <c r="IB47" s="1827"/>
      <c r="IC47" s="1827"/>
      <c r="ID47" s="1827"/>
      <c r="IE47" s="1827"/>
      <c r="IF47" s="1827"/>
      <c r="IG47" s="1827"/>
      <c r="IH47" s="1827"/>
      <c r="II47" s="1827"/>
      <c r="IJ47" s="1827"/>
      <c r="IK47" s="1827"/>
      <c r="IL47" s="1827"/>
      <c r="IM47" s="1827"/>
      <c r="IN47" s="1827"/>
      <c r="IO47" s="1827"/>
      <c r="IP47" s="1827"/>
      <c r="IQ47" s="1827"/>
      <c r="IR47" s="1827"/>
      <c r="IS47" s="1827"/>
      <c r="IT47" s="1827"/>
      <c r="IU47" s="1827"/>
      <c r="IV47" s="1827"/>
    </row>
    <row r="48" spans="1:256">
      <c r="A48" s="1831">
        <f t="shared" si="9"/>
        <v>28</v>
      </c>
      <c r="B48" s="1828" t="s">
        <v>326</v>
      </c>
      <c r="C48" s="1149">
        <f t="shared" si="10"/>
        <v>0</v>
      </c>
      <c r="D48" s="1149">
        <f t="shared" ref="D48:D56" si="11">D47+C48</f>
        <v>0</v>
      </c>
      <c r="E48" s="1828">
        <v>30</v>
      </c>
      <c r="F48" s="964">
        <v>246</v>
      </c>
      <c r="G48" s="1839">
        <f t="shared" si="6"/>
        <v>0.67397260273972603</v>
      </c>
      <c r="H48" s="1149">
        <f t="shared" si="7"/>
        <v>0</v>
      </c>
      <c r="I48" s="1149">
        <f t="shared" si="8"/>
        <v>0</v>
      </c>
      <c r="J48" s="1827"/>
      <c r="K48" s="1827"/>
      <c r="L48" s="1827"/>
      <c r="M48" s="1827"/>
      <c r="N48" s="1827"/>
      <c r="O48" s="1827"/>
      <c r="P48" s="1827"/>
      <c r="Q48" s="1827"/>
      <c r="R48" s="1827"/>
      <c r="S48" s="1827"/>
      <c r="T48" s="1827"/>
      <c r="U48" s="1827"/>
      <c r="V48" s="1827"/>
      <c r="W48" s="1827"/>
      <c r="X48" s="1827"/>
      <c r="Y48" s="1827"/>
      <c r="Z48" s="1827"/>
      <c r="AA48" s="1827"/>
      <c r="AB48" s="1827"/>
      <c r="AC48" s="1827"/>
      <c r="AD48" s="1827"/>
      <c r="AE48" s="1827"/>
      <c r="AF48" s="1827"/>
      <c r="AG48" s="1827"/>
      <c r="AH48" s="1827"/>
      <c r="AI48" s="1827"/>
      <c r="AJ48" s="1827"/>
      <c r="AK48" s="1827"/>
      <c r="AL48" s="1827"/>
      <c r="AM48" s="1827"/>
      <c r="AN48" s="1827"/>
      <c r="AO48" s="1827"/>
      <c r="AP48" s="1827"/>
      <c r="AQ48" s="1827"/>
      <c r="AR48" s="1827"/>
      <c r="AS48" s="1827"/>
      <c r="AT48" s="1827"/>
      <c r="AU48" s="1827"/>
      <c r="AV48" s="1827"/>
      <c r="AW48" s="1827"/>
      <c r="AX48" s="1827"/>
      <c r="AY48" s="1827"/>
      <c r="AZ48" s="1827"/>
      <c r="BA48" s="1827"/>
      <c r="BB48" s="1827"/>
      <c r="BC48" s="1827"/>
      <c r="BD48" s="1827"/>
      <c r="BE48" s="1827"/>
      <c r="BF48" s="1827"/>
      <c r="BG48" s="1827"/>
      <c r="BH48" s="1827"/>
      <c r="BI48" s="1827"/>
      <c r="BJ48" s="1827"/>
      <c r="BK48" s="1827"/>
      <c r="BL48" s="1827"/>
      <c r="BM48" s="1827"/>
      <c r="BN48" s="1827"/>
      <c r="BO48" s="1827"/>
      <c r="BP48" s="1827"/>
      <c r="BQ48" s="1827"/>
      <c r="BR48" s="1827"/>
      <c r="BS48" s="1827"/>
      <c r="BT48" s="1827"/>
      <c r="BU48" s="1827"/>
      <c r="BV48" s="1827"/>
      <c r="BW48" s="1827"/>
      <c r="BX48" s="1827"/>
      <c r="BY48" s="1827"/>
      <c r="BZ48" s="1827"/>
      <c r="CA48" s="1827"/>
      <c r="CB48" s="1827"/>
      <c r="CC48" s="1827"/>
      <c r="CD48" s="1827"/>
      <c r="CE48" s="1827"/>
      <c r="CF48" s="1827"/>
      <c r="CG48" s="1827"/>
      <c r="CH48" s="1827"/>
      <c r="CI48" s="1827"/>
      <c r="CJ48" s="1827"/>
      <c r="CK48" s="1827"/>
      <c r="CL48" s="1827"/>
      <c r="CM48" s="1827"/>
      <c r="CN48" s="1827"/>
      <c r="CO48" s="1827"/>
      <c r="CP48" s="1827"/>
      <c r="CQ48" s="1827"/>
      <c r="CR48" s="1827"/>
      <c r="CS48" s="1827"/>
      <c r="CT48" s="1827"/>
      <c r="CU48" s="1827"/>
      <c r="CV48" s="1827"/>
      <c r="CW48" s="1827"/>
      <c r="CX48" s="1827"/>
      <c r="CY48" s="1827"/>
      <c r="CZ48" s="1827"/>
      <c r="DA48" s="1827"/>
      <c r="DB48" s="1827"/>
      <c r="DC48" s="1827"/>
      <c r="DD48" s="1827"/>
      <c r="DE48" s="1827"/>
      <c r="DF48" s="1827"/>
      <c r="DG48" s="1827"/>
      <c r="DH48" s="1827"/>
      <c r="DI48" s="1827"/>
      <c r="DJ48" s="1827"/>
      <c r="DK48" s="1827"/>
      <c r="DL48" s="1827"/>
      <c r="DM48" s="1827"/>
      <c r="DN48" s="1827"/>
      <c r="DO48" s="1827"/>
      <c r="DP48" s="1827"/>
      <c r="DQ48" s="1827"/>
      <c r="DR48" s="1827"/>
      <c r="DS48" s="1827"/>
      <c r="DT48" s="1827"/>
      <c r="DU48" s="1827"/>
      <c r="DV48" s="1827"/>
      <c r="DW48" s="1827"/>
      <c r="DX48" s="1827"/>
      <c r="DY48" s="1827"/>
      <c r="DZ48" s="1827"/>
      <c r="EA48" s="1827"/>
      <c r="EB48" s="1827"/>
      <c r="EC48" s="1827"/>
      <c r="ED48" s="1827"/>
      <c r="EE48" s="1827"/>
      <c r="EF48" s="1827"/>
      <c r="EG48" s="1827"/>
      <c r="EH48" s="1827"/>
      <c r="EI48" s="1827"/>
      <c r="EJ48" s="1827"/>
      <c r="EK48" s="1827"/>
      <c r="EL48" s="1827"/>
      <c r="EM48" s="1827"/>
      <c r="EN48" s="1827"/>
      <c r="EO48" s="1827"/>
      <c r="EP48" s="1827"/>
      <c r="EQ48" s="1827"/>
      <c r="ER48" s="1827"/>
      <c r="ES48" s="1827"/>
      <c r="ET48" s="1827"/>
      <c r="EU48" s="1827"/>
      <c r="EV48" s="1827"/>
      <c r="EW48" s="1827"/>
      <c r="EX48" s="1827"/>
      <c r="EY48" s="1827"/>
      <c r="EZ48" s="1827"/>
      <c r="FA48" s="1827"/>
      <c r="FB48" s="1827"/>
      <c r="FC48" s="1827"/>
      <c r="FD48" s="1827"/>
      <c r="FE48" s="1827"/>
      <c r="FF48" s="1827"/>
      <c r="FG48" s="1827"/>
      <c r="FH48" s="1827"/>
      <c r="FI48" s="1827"/>
      <c r="FJ48" s="1827"/>
      <c r="FK48" s="1827"/>
      <c r="FL48" s="1827"/>
      <c r="FM48" s="1827"/>
      <c r="FN48" s="1827"/>
      <c r="FO48" s="1827"/>
      <c r="FP48" s="1827"/>
      <c r="FQ48" s="1827"/>
      <c r="FR48" s="1827"/>
      <c r="FS48" s="1827"/>
      <c r="FT48" s="1827"/>
      <c r="FU48" s="1827"/>
      <c r="FV48" s="1827"/>
      <c r="FW48" s="1827"/>
      <c r="FX48" s="1827"/>
      <c r="FY48" s="1827"/>
      <c r="FZ48" s="1827"/>
      <c r="GA48" s="1827"/>
      <c r="GB48" s="1827"/>
      <c r="GC48" s="1827"/>
      <c r="GD48" s="1827"/>
      <c r="GE48" s="1827"/>
      <c r="GF48" s="1827"/>
      <c r="GG48" s="1827"/>
      <c r="GH48" s="1827"/>
      <c r="GI48" s="1827"/>
      <c r="GJ48" s="1827"/>
      <c r="GK48" s="1827"/>
      <c r="GL48" s="1827"/>
      <c r="GM48" s="1827"/>
      <c r="GN48" s="1827"/>
      <c r="GO48" s="1827"/>
      <c r="GP48" s="1827"/>
      <c r="GQ48" s="1827"/>
      <c r="GR48" s="1827"/>
      <c r="GS48" s="1827"/>
      <c r="GT48" s="1827"/>
      <c r="GU48" s="1827"/>
      <c r="GV48" s="1827"/>
      <c r="GW48" s="1827"/>
      <c r="GX48" s="1827"/>
      <c r="GY48" s="1827"/>
      <c r="GZ48" s="1827"/>
      <c r="HA48" s="1827"/>
      <c r="HB48" s="1827"/>
      <c r="HC48" s="1827"/>
      <c r="HD48" s="1827"/>
      <c r="HE48" s="1827"/>
      <c r="HF48" s="1827"/>
      <c r="HG48" s="1827"/>
      <c r="HH48" s="1827"/>
      <c r="HI48" s="1827"/>
      <c r="HJ48" s="1827"/>
      <c r="HK48" s="1827"/>
      <c r="HL48" s="1827"/>
      <c r="HM48" s="1827"/>
      <c r="HN48" s="1827"/>
      <c r="HO48" s="1827"/>
      <c r="HP48" s="1827"/>
      <c r="HQ48" s="1827"/>
      <c r="HR48" s="1827"/>
      <c r="HS48" s="1827"/>
      <c r="HT48" s="1827"/>
      <c r="HU48" s="1827"/>
      <c r="HV48" s="1827"/>
      <c r="HW48" s="1827"/>
      <c r="HX48" s="1827"/>
      <c r="HY48" s="1827"/>
      <c r="HZ48" s="1827"/>
      <c r="IA48" s="1827"/>
      <c r="IB48" s="1827"/>
      <c r="IC48" s="1827"/>
      <c r="ID48" s="1827"/>
      <c r="IE48" s="1827"/>
      <c r="IF48" s="1827"/>
      <c r="IG48" s="1827"/>
      <c r="IH48" s="1827"/>
      <c r="II48" s="1827"/>
      <c r="IJ48" s="1827"/>
      <c r="IK48" s="1827"/>
      <c r="IL48" s="1827"/>
      <c r="IM48" s="1827"/>
      <c r="IN48" s="1827"/>
      <c r="IO48" s="1827"/>
      <c r="IP48" s="1827"/>
      <c r="IQ48" s="1827"/>
      <c r="IR48" s="1827"/>
      <c r="IS48" s="1827"/>
      <c r="IT48" s="1827"/>
      <c r="IU48" s="1827"/>
      <c r="IV48" s="1827"/>
    </row>
    <row r="49" spans="1:256">
      <c r="A49" s="1831">
        <f t="shared" si="9"/>
        <v>29</v>
      </c>
      <c r="B49" s="1828" t="s">
        <v>327</v>
      </c>
      <c r="C49" s="1149">
        <f t="shared" si="10"/>
        <v>0</v>
      </c>
      <c r="D49" s="1149">
        <f t="shared" si="11"/>
        <v>0</v>
      </c>
      <c r="E49" s="1828">
        <v>31</v>
      </c>
      <c r="F49" s="964">
        <v>215</v>
      </c>
      <c r="G49" s="1839">
        <f t="shared" si="6"/>
        <v>0.58904109589041098</v>
      </c>
      <c r="H49" s="1149">
        <f t="shared" si="7"/>
        <v>0</v>
      </c>
      <c r="I49" s="1149">
        <f t="shared" si="8"/>
        <v>0</v>
      </c>
      <c r="J49" s="1827"/>
      <c r="K49" s="1827"/>
      <c r="L49" s="1827"/>
      <c r="M49" s="1827"/>
      <c r="N49" s="1827"/>
      <c r="O49" s="1827"/>
      <c r="P49" s="1827"/>
      <c r="Q49" s="1827"/>
      <c r="R49" s="1827"/>
      <c r="S49" s="1827"/>
      <c r="T49" s="1827"/>
      <c r="U49" s="1827"/>
      <c r="V49" s="1827"/>
      <c r="W49" s="1827"/>
      <c r="X49" s="1827"/>
      <c r="Y49" s="1827"/>
      <c r="Z49" s="1827"/>
      <c r="AA49" s="1827"/>
      <c r="AB49" s="1827"/>
      <c r="AC49" s="1827"/>
      <c r="AD49" s="1827"/>
      <c r="AE49" s="1827"/>
      <c r="AF49" s="1827"/>
      <c r="AG49" s="1827"/>
      <c r="AH49" s="1827"/>
      <c r="AI49" s="1827"/>
      <c r="AJ49" s="1827"/>
      <c r="AK49" s="1827"/>
      <c r="AL49" s="1827"/>
      <c r="AM49" s="1827"/>
      <c r="AN49" s="1827"/>
      <c r="AO49" s="1827"/>
      <c r="AP49" s="1827"/>
      <c r="AQ49" s="1827"/>
      <c r="AR49" s="1827"/>
      <c r="AS49" s="1827"/>
      <c r="AT49" s="1827"/>
      <c r="AU49" s="1827"/>
      <c r="AV49" s="1827"/>
      <c r="AW49" s="1827"/>
      <c r="AX49" s="1827"/>
      <c r="AY49" s="1827"/>
      <c r="AZ49" s="1827"/>
      <c r="BA49" s="1827"/>
      <c r="BB49" s="1827"/>
      <c r="BC49" s="1827"/>
      <c r="BD49" s="1827"/>
      <c r="BE49" s="1827"/>
      <c r="BF49" s="1827"/>
      <c r="BG49" s="1827"/>
      <c r="BH49" s="1827"/>
      <c r="BI49" s="1827"/>
      <c r="BJ49" s="1827"/>
      <c r="BK49" s="1827"/>
      <c r="BL49" s="1827"/>
      <c r="BM49" s="1827"/>
      <c r="BN49" s="1827"/>
      <c r="BO49" s="1827"/>
      <c r="BP49" s="1827"/>
      <c r="BQ49" s="1827"/>
      <c r="BR49" s="1827"/>
      <c r="BS49" s="1827"/>
      <c r="BT49" s="1827"/>
      <c r="BU49" s="1827"/>
      <c r="BV49" s="1827"/>
      <c r="BW49" s="1827"/>
      <c r="BX49" s="1827"/>
      <c r="BY49" s="1827"/>
      <c r="BZ49" s="1827"/>
      <c r="CA49" s="1827"/>
      <c r="CB49" s="1827"/>
      <c r="CC49" s="1827"/>
      <c r="CD49" s="1827"/>
      <c r="CE49" s="1827"/>
      <c r="CF49" s="1827"/>
      <c r="CG49" s="1827"/>
      <c r="CH49" s="1827"/>
      <c r="CI49" s="1827"/>
      <c r="CJ49" s="1827"/>
      <c r="CK49" s="1827"/>
      <c r="CL49" s="1827"/>
      <c r="CM49" s="1827"/>
      <c r="CN49" s="1827"/>
      <c r="CO49" s="1827"/>
      <c r="CP49" s="1827"/>
      <c r="CQ49" s="1827"/>
      <c r="CR49" s="1827"/>
      <c r="CS49" s="1827"/>
      <c r="CT49" s="1827"/>
      <c r="CU49" s="1827"/>
      <c r="CV49" s="1827"/>
      <c r="CW49" s="1827"/>
      <c r="CX49" s="1827"/>
      <c r="CY49" s="1827"/>
      <c r="CZ49" s="1827"/>
      <c r="DA49" s="1827"/>
      <c r="DB49" s="1827"/>
      <c r="DC49" s="1827"/>
      <c r="DD49" s="1827"/>
      <c r="DE49" s="1827"/>
      <c r="DF49" s="1827"/>
      <c r="DG49" s="1827"/>
      <c r="DH49" s="1827"/>
      <c r="DI49" s="1827"/>
      <c r="DJ49" s="1827"/>
      <c r="DK49" s="1827"/>
      <c r="DL49" s="1827"/>
      <c r="DM49" s="1827"/>
      <c r="DN49" s="1827"/>
      <c r="DO49" s="1827"/>
      <c r="DP49" s="1827"/>
      <c r="DQ49" s="1827"/>
      <c r="DR49" s="1827"/>
      <c r="DS49" s="1827"/>
      <c r="DT49" s="1827"/>
      <c r="DU49" s="1827"/>
      <c r="DV49" s="1827"/>
      <c r="DW49" s="1827"/>
      <c r="DX49" s="1827"/>
      <c r="DY49" s="1827"/>
      <c r="DZ49" s="1827"/>
      <c r="EA49" s="1827"/>
      <c r="EB49" s="1827"/>
      <c r="EC49" s="1827"/>
      <c r="ED49" s="1827"/>
      <c r="EE49" s="1827"/>
      <c r="EF49" s="1827"/>
      <c r="EG49" s="1827"/>
      <c r="EH49" s="1827"/>
      <c r="EI49" s="1827"/>
      <c r="EJ49" s="1827"/>
      <c r="EK49" s="1827"/>
      <c r="EL49" s="1827"/>
      <c r="EM49" s="1827"/>
      <c r="EN49" s="1827"/>
      <c r="EO49" s="1827"/>
      <c r="EP49" s="1827"/>
      <c r="EQ49" s="1827"/>
      <c r="ER49" s="1827"/>
      <c r="ES49" s="1827"/>
      <c r="ET49" s="1827"/>
      <c r="EU49" s="1827"/>
      <c r="EV49" s="1827"/>
      <c r="EW49" s="1827"/>
      <c r="EX49" s="1827"/>
      <c r="EY49" s="1827"/>
      <c r="EZ49" s="1827"/>
      <c r="FA49" s="1827"/>
      <c r="FB49" s="1827"/>
      <c r="FC49" s="1827"/>
      <c r="FD49" s="1827"/>
      <c r="FE49" s="1827"/>
      <c r="FF49" s="1827"/>
      <c r="FG49" s="1827"/>
      <c r="FH49" s="1827"/>
      <c r="FI49" s="1827"/>
      <c r="FJ49" s="1827"/>
      <c r="FK49" s="1827"/>
      <c r="FL49" s="1827"/>
      <c r="FM49" s="1827"/>
      <c r="FN49" s="1827"/>
      <c r="FO49" s="1827"/>
      <c r="FP49" s="1827"/>
      <c r="FQ49" s="1827"/>
      <c r="FR49" s="1827"/>
      <c r="FS49" s="1827"/>
      <c r="FT49" s="1827"/>
      <c r="FU49" s="1827"/>
      <c r="FV49" s="1827"/>
      <c r="FW49" s="1827"/>
      <c r="FX49" s="1827"/>
      <c r="FY49" s="1827"/>
      <c r="FZ49" s="1827"/>
      <c r="GA49" s="1827"/>
      <c r="GB49" s="1827"/>
      <c r="GC49" s="1827"/>
      <c r="GD49" s="1827"/>
      <c r="GE49" s="1827"/>
      <c r="GF49" s="1827"/>
      <c r="GG49" s="1827"/>
      <c r="GH49" s="1827"/>
      <c r="GI49" s="1827"/>
      <c r="GJ49" s="1827"/>
      <c r="GK49" s="1827"/>
      <c r="GL49" s="1827"/>
      <c r="GM49" s="1827"/>
      <c r="GN49" s="1827"/>
      <c r="GO49" s="1827"/>
      <c r="GP49" s="1827"/>
      <c r="GQ49" s="1827"/>
      <c r="GR49" s="1827"/>
      <c r="GS49" s="1827"/>
      <c r="GT49" s="1827"/>
      <c r="GU49" s="1827"/>
      <c r="GV49" s="1827"/>
      <c r="GW49" s="1827"/>
      <c r="GX49" s="1827"/>
      <c r="GY49" s="1827"/>
      <c r="GZ49" s="1827"/>
      <c r="HA49" s="1827"/>
      <c r="HB49" s="1827"/>
      <c r="HC49" s="1827"/>
      <c r="HD49" s="1827"/>
      <c r="HE49" s="1827"/>
      <c r="HF49" s="1827"/>
      <c r="HG49" s="1827"/>
      <c r="HH49" s="1827"/>
      <c r="HI49" s="1827"/>
      <c r="HJ49" s="1827"/>
      <c r="HK49" s="1827"/>
      <c r="HL49" s="1827"/>
      <c r="HM49" s="1827"/>
      <c r="HN49" s="1827"/>
      <c r="HO49" s="1827"/>
      <c r="HP49" s="1827"/>
      <c r="HQ49" s="1827"/>
      <c r="HR49" s="1827"/>
      <c r="HS49" s="1827"/>
      <c r="HT49" s="1827"/>
      <c r="HU49" s="1827"/>
      <c r="HV49" s="1827"/>
      <c r="HW49" s="1827"/>
      <c r="HX49" s="1827"/>
      <c r="HY49" s="1827"/>
      <c r="HZ49" s="1827"/>
      <c r="IA49" s="1827"/>
      <c r="IB49" s="1827"/>
      <c r="IC49" s="1827"/>
      <c r="ID49" s="1827"/>
      <c r="IE49" s="1827"/>
      <c r="IF49" s="1827"/>
      <c r="IG49" s="1827"/>
      <c r="IH49" s="1827"/>
      <c r="II49" s="1827"/>
      <c r="IJ49" s="1827"/>
      <c r="IK49" s="1827"/>
      <c r="IL49" s="1827"/>
      <c r="IM49" s="1827"/>
      <c r="IN49" s="1827"/>
      <c r="IO49" s="1827"/>
      <c r="IP49" s="1827"/>
      <c r="IQ49" s="1827"/>
      <c r="IR49" s="1827"/>
      <c r="IS49" s="1827"/>
      <c r="IT49" s="1827"/>
      <c r="IU49" s="1827"/>
      <c r="IV49" s="1827"/>
    </row>
    <row r="50" spans="1:256">
      <c r="A50" s="1831">
        <f t="shared" si="9"/>
        <v>30</v>
      </c>
      <c r="B50" s="1828" t="s">
        <v>48</v>
      </c>
      <c r="C50" s="1149">
        <f t="shared" si="10"/>
        <v>0</v>
      </c>
      <c r="D50" s="1149">
        <f t="shared" si="11"/>
        <v>0</v>
      </c>
      <c r="E50" s="1828">
        <v>30</v>
      </c>
      <c r="F50" s="964">
        <v>185</v>
      </c>
      <c r="G50" s="1839">
        <f t="shared" si="6"/>
        <v>0.50684931506849318</v>
      </c>
      <c r="H50" s="1149">
        <f t="shared" si="7"/>
        <v>0</v>
      </c>
      <c r="I50" s="1149">
        <f t="shared" si="8"/>
        <v>0</v>
      </c>
      <c r="J50" s="1827"/>
      <c r="K50" s="1827"/>
      <c r="L50" s="1827"/>
      <c r="M50" s="1827"/>
      <c r="N50" s="1827"/>
      <c r="O50" s="1827"/>
      <c r="P50" s="1827"/>
      <c r="Q50" s="1827"/>
      <c r="R50" s="1827"/>
      <c r="S50" s="1827"/>
      <c r="T50" s="1827"/>
      <c r="U50" s="1827"/>
      <c r="V50" s="1827"/>
      <c r="W50" s="1827"/>
      <c r="X50" s="1827"/>
      <c r="Y50" s="1827"/>
      <c r="Z50" s="1827"/>
      <c r="AA50" s="1827"/>
      <c r="AB50" s="1827"/>
      <c r="AC50" s="1827"/>
      <c r="AD50" s="1827"/>
      <c r="AE50" s="1827"/>
      <c r="AF50" s="1827"/>
      <c r="AG50" s="1827"/>
      <c r="AH50" s="1827"/>
      <c r="AI50" s="1827"/>
      <c r="AJ50" s="1827"/>
      <c r="AK50" s="1827"/>
      <c r="AL50" s="1827"/>
      <c r="AM50" s="1827"/>
      <c r="AN50" s="1827"/>
      <c r="AO50" s="1827"/>
      <c r="AP50" s="1827"/>
      <c r="AQ50" s="1827"/>
      <c r="AR50" s="1827"/>
      <c r="AS50" s="1827"/>
      <c r="AT50" s="1827"/>
      <c r="AU50" s="1827"/>
      <c r="AV50" s="1827"/>
      <c r="AW50" s="1827"/>
      <c r="AX50" s="1827"/>
      <c r="AY50" s="1827"/>
      <c r="AZ50" s="1827"/>
      <c r="BA50" s="1827"/>
      <c r="BB50" s="1827"/>
      <c r="BC50" s="1827"/>
      <c r="BD50" s="1827"/>
      <c r="BE50" s="1827"/>
      <c r="BF50" s="1827"/>
      <c r="BG50" s="1827"/>
      <c r="BH50" s="1827"/>
      <c r="BI50" s="1827"/>
      <c r="BJ50" s="1827"/>
      <c r="BK50" s="1827"/>
      <c r="BL50" s="1827"/>
      <c r="BM50" s="1827"/>
      <c r="BN50" s="1827"/>
      <c r="BO50" s="1827"/>
      <c r="BP50" s="1827"/>
      <c r="BQ50" s="1827"/>
      <c r="BR50" s="1827"/>
      <c r="BS50" s="1827"/>
      <c r="BT50" s="1827"/>
      <c r="BU50" s="1827"/>
      <c r="BV50" s="1827"/>
      <c r="BW50" s="1827"/>
      <c r="BX50" s="1827"/>
      <c r="BY50" s="1827"/>
      <c r="BZ50" s="1827"/>
      <c r="CA50" s="1827"/>
      <c r="CB50" s="1827"/>
      <c r="CC50" s="1827"/>
      <c r="CD50" s="1827"/>
      <c r="CE50" s="1827"/>
      <c r="CF50" s="1827"/>
      <c r="CG50" s="1827"/>
      <c r="CH50" s="1827"/>
      <c r="CI50" s="1827"/>
      <c r="CJ50" s="1827"/>
      <c r="CK50" s="1827"/>
      <c r="CL50" s="1827"/>
      <c r="CM50" s="1827"/>
      <c r="CN50" s="1827"/>
      <c r="CO50" s="1827"/>
      <c r="CP50" s="1827"/>
      <c r="CQ50" s="1827"/>
      <c r="CR50" s="1827"/>
      <c r="CS50" s="1827"/>
      <c r="CT50" s="1827"/>
      <c r="CU50" s="1827"/>
      <c r="CV50" s="1827"/>
      <c r="CW50" s="1827"/>
      <c r="CX50" s="1827"/>
      <c r="CY50" s="1827"/>
      <c r="CZ50" s="1827"/>
      <c r="DA50" s="1827"/>
      <c r="DB50" s="1827"/>
      <c r="DC50" s="1827"/>
      <c r="DD50" s="1827"/>
      <c r="DE50" s="1827"/>
      <c r="DF50" s="1827"/>
      <c r="DG50" s="1827"/>
      <c r="DH50" s="1827"/>
      <c r="DI50" s="1827"/>
      <c r="DJ50" s="1827"/>
      <c r="DK50" s="1827"/>
      <c r="DL50" s="1827"/>
      <c r="DM50" s="1827"/>
      <c r="DN50" s="1827"/>
      <c r="DO50" s="1827"/>
      <c r="DP50" s="1827"/>
      <c r="DQ50" s="1827"/>
      <c r="DR50" s="1827"/>
      <c r="DS50" s="1827"/>
      <c r="DT50" s="1827"/>
      <c r="DU50" s="1827"/>
      <c r="DV50" s="1827"/>
      <c r="DW50" s="1827"/>
      <c r="DX50" s="1827"/>
      <c r="DY50" s="1827"/>
      <c r="DZ50" s="1827"/>
      <c r="EA50" s="1827"/>
      <c r="EB50" s="1827"/>
      <c r="EC50" s="1827"/>
      <c r="ED50" s="1827"/>
      <c r="EE50" s="1827"/>
      <c r="EF50" s="1827"/>
      <c r="EG50" s="1827"/>
      <c r="EH50" s="1827"/>
      <c r="EI50" s="1827"/>
      <c r="EJ50" s="1827"/>
      <c r="EK50" s="1827"/>
      <c r="EL50" s="1827"/>
      <c r="EM50" s="1827"/>
      <c r="EN50" s="1827"/>
      <c r="EO50" s="1827"/>
      <c r="EP50" s="1827"/>
      <c r="EQ50" s="1827"/>
      <c r="ER50" s="1827"/>
      <c r="ES50" s="1827"/>
      <c r="ET50" s="1827"/>
      <c r="EU50" s="1827"/>
      <c r="EV50" s="1827"/>
      <c r="EW50" s="1827"/>
      <c r="EX50" s="1827"/>
      <c r="EY50" s="1827"/>
      <c r="EZ50" s="1827"/>
      <c r="FA50" s="1827"/>
      <c r="FB50" s="1827"/>
      <c r="FC50" s="1827"/>
      <c r="FD50" s="1827"/>
      <c r="FE50" s="1827"/>
      <c r="FF50" s="1827"/>
      <c r="FG50" s="1827"/>
      <c r="FH50" s="1827"/>
      <c r="FI50" s="1827"/>
      <c r="FJ50" s="1827"/>
      <c r="FK50" s="1827"/>
      <c r="FL50" s="1827"/>
      <c r="FM50" s="1827"/>
      <c r="FN50" s="1827"/>
      <c r="FO50" s="1827"/>
      <c r="FP50" s="1827"/>
      <c r="FQ50" s="1827"/>
      <c r="FR50" s="1827"/>
      <c r="FS50" s="1827"/>
      <c r="FT50" s="1827"/>
      <c r="FU50" s="1827"/>
      <c r="FV50" s="1827"/>
      <c r="FW50" s="1827"/>
      <c r="FX50" s="1827"/>
      <c r="FY50" s="1827"/>
      <c r="FZ50" s="1827"/>
      <c r="GA50" s="1827"/>
      <c r="GB50" s="1827"/>
      <c r="GC50" s="1827"/>
      <c r="GD50" s="1827"/>
      <c r="GE50" s="1827"/>
      <c r="GF50" s="1827"/>
      <c r="GG50" s="1827"/>
      <c r="GH50" s="1827"/>
      <c r="GI50" s="1827"/>
      <c r="GJ50" s="1827"/>
      <c r="GK50" s="1827"/>
      <c r="GL50" s="1827"/>
      <c r="GM50" s="1827"/>
      <c r="GN50" s="1827"/>
      <c r="GO50" s="1827"/>
      <c r="GP50" s="1827"/>
      <c r="GQ50" s="1827"/>
      <c r="GR50" s="1827"/>
      <c r="GS50" s="1827"/>
      <c r="GT50" s="1827"/>
      <c r="GU50" s="1827"/>
      <c r="GV50" s="1827"/>
      <c r="GW50" s="1827"/>
      <c r="GX50" s="1827"/>
      <c r="GY50" s="1827"/>
      <c r="GZ50" s="1827"/>
      <c r="HA50" s="1827"/>
      <c r="HB50" s="1827"/>
      <c r="HC50" s="1827"/>
      <c r="HD50" s="1827"/>
      <c r="HE50" s="1827"/>
      <c r="HF50" s="1827"/>
      <c r="HG50" s="1827"/>
      <c r="HH50" s="1827"/>
      <c r="HI50" s="1827"/>
      <c r="HJ50" s="1827"/>
      <c r="HK50" s="1827"/>
      <c r="HL50" s="1827"/>
      <c r="HM50" s="1827"/>
      <c r="HN50" s="1827"/>
      <c r="HO50" s="1827"/>
      <c r="HP50" s="1827"/>
      <c r="HQ50" s="1827"/>
      <c r="HR50" s="1827"/>
      <c r="HS50" s="1827"/>
      <c r="HT50" s="1827"/>
      <c r="HU50" s="1827"/>
      <c r="HV50" s="1827"/>
      <c r="HW50" s="1827"/>
      <c r="HX50" s="1827"/>
      <c r="HY50" s="1827"/>
      <c r="HZ50" s="1827"/>
      <c r="IA50" s="1827"/>
      <c r="IB50" s="1827"/>
      <c r="IC50" s="1827"/>
      <c r="ID50" s="1827"/>
      <c r="IE50" s="1827"/>
      <c r="IF50" s="1827"/>
      <c r="IG50" s="1827"/>
      <c r="IH50" s="1827"/>
      <c r="II50" s="1827"/>
      <c r="IJ50" s="1827"/>
      <c r="IK50" s="1827"/>
      <c r="IL50" s="1827"/>
      <c r="IM50" s="1827"/>
      <c r="IN50" s="1827"/>
      <c r="IO50" s="1827"/>
      <c r="IP50" s="1827"/>
      <c r="IQ50" s="1827"/>
      <c r="IR50" s="1827"/>
      <c r="IS50" s="1827"/>
      <c r="IT50" s="1827"/>
      <c r="IU50" s="1827"/>
      <c r="IV50" s="1827"/>
    </row>
    <row r="51" spans="1:256">
      <c r="A51" s="1831">
        <f t="shared" si="9"/>
        <v>31</v>
      </c>
      <c r="B51" s="1828" t="s">
        <v>328</v>
      </c>
      <c r="C51" s="1149">
        <f t="shared" si="10"/>
        <v>0</v>
      </c>
      <c r="D51" s="1149">
        <f t="shared" si="11"/>
        <v>0</v>
      </c>
      <c r="E51" s="1828">
        <v>31</v>
      </c>
      <c r="F51" s="964">
        <v>154</v>
      </c>
      <c r="G51" s="1839">
        <f t="shared" si="6"/>
        <v>0.42191780821917807</v>
      </c>
      <c r="H51" s="1149">
        <f t="shared" si="7"/>
        <v>0</v>
      </c>
      <c r="I51" s="1149">
        <f t="shared" si="8"/>
        <v>0</v>
      </c>
      <c r="J51" s="1827"/>
      <c r="K51" s="1827"/>
      <c r="L51" s="1827"/>
      <c r="M51" s="1827"/>
      <c r="N51" s="1827"/>
      <c r="O51" s="1827"/>
      <c r="P51" s="1827"/>
      <c r="Q51" s="1827"/>
      <c r="R51" s="1827"/>
      <c r="S51" s="1827"/>
      <c r="T51" s="1827"/>
      <c r="U51" s="1827"/>
      <c r="V51" s="1827"/>
      <c r="W51" s="1827"/>
      <c r="X51" s="1827"/>
      <c r="Y51" s="1827"/>
      <c r="Z51" s="1827"/>
      <c r="AA51" s="1827"/>
      <c r="AB51" s="1827"/>
      <c r="AC51" s="1827"/>
      <c r="AD51" s="1827"/>
      <c r="AE51" s="1827"/>
      <c r="AF51" s="1827"/>
      <c r="AG51" s="1827"/>
      <c r="AH51" s="1827"/>
      <c r="AI51" s="1827"/>
      <c r="AJ51" s="1827"/>
      <c r="AK51" s="1827"/>
      <c r="AL51" s="1827"/>
      <c r="AM51" s="1827"/>
      <c r="AN51" s="1827"/>
      <c r="AO51" s="1827"/>
      <c r="AP51" s="1827"/>
      <c r="AQ51" s="1827"/>
      <c r="AR51" s="1827"/>
      <c r="AS51" s="1827"/>
      <c r="AT51" s="1827"/>
      <c r="AU51" s="1827"/>
      <c r="AV51" s="1827"/>
      <c r="AW51" s="1827"/>
      <c r="AX51" s="1827"/>
      <c r="AY51" s="1827"/>
      <c r="AZ51" s="1827"/>
      <c r="BA51" s="1827"/>
      <c r="BB51" s="1827"/>
      <c r="BC51" s="1827"/>
      <c r="BD51" s="1827"/>
      <c r="BE51" s="1827"/>
      <c r="BF51" s="1827"/>
      <c r="BG51" s="1827"/>
      <c r="BH51" s="1827"/>
      <c r="BI51" s="1827"/>
      <c r="BJ51" s="1827"/>
      <c r="BK51" s="1827"/>
      <c r="BL51" s="1827"/>
      <c r="BM51" s="1827"/>
      <c r="BN51" s="1827"/>
      <c r="BO51" s="1827"/>
      <c r="BP51" s="1827"/>
      <c r="BQ51" s="1827"/>
      <c r="BR51" s="1827"/>
      <c r="BS51" s="1827"/>
      <c r="BT51" s="1827"/>
      <c r="BU51" s="1827"/>
      <c r="BV51" s="1827"/>
      <c r="BW51" s="1827"/>
      <c r="BX51" s="1827"/>
      <c r="BY51" s="1827"/>
      <c r="BZ51" s="1827"/>
      <c r="CA51" s="1827"/>
      <c r="CB51" s="1827"/>
      <c r="CC51" s="1827"/>
      <c r="CD51" s="1827"/>
      <c r="CE51" s="1827"/>
      <c r="CF51" s="1827"/>
      <c r="CG51" s="1827"/>
      <c r="CH51" s="1827"/>
      <c r="CI51" s="1827"/>
      <c r="CJ51" s="1827"/>
      <c r="CK51" s="1827"/>
      <c r="CL51" s="1827"/>
      <c r="CM51" s="1827"/>
      <c r="CN51" s="1827"/>
      <c r="CO51" s="1827"/>
      <c r="CP51" s="1827"/>
      <c r="CQ51" s="1827"/>
      <c r="CR51" s="1827"/>
      <c r="CS51" s="1827"/>
      <c r="CT51" s="1827"/>
      <c r="CU51" s="1827"/>
      <c r="CV51" s="1827"/>
      <c r="CW51" s="1827"/>
      <c r="CX51" s="1827"/>
      <c r="CY51" s="1827"/>
      <c r="CZ51" s="1827"/>
      <c r="DA51" s="1827"/>
      <c r="DB51" s="1827"/>
      <c r="DC51" s="1827"/>
      <c r="DD51" s="1827"/>
      <c r="DE51" s="1827"/>
      <c r="DF51" s="1827"/>
      <c r="DG51" s="1827"/>
      <c r="DH51" s="1827"/>
      <c r="DI51" s="1827"/>
      <c r="DJ51" s="1827"/>
      <c r="DK51" s="1827"/>
      <c r="DL51" s="1827"/>
      <c r="DM51" s="1827"/>
      <c r="DN51" s="1827"/>
      <c r="DO51" s="1827"/>
      <c r="DP51" s="1827"/>
      <c r="DQ51" s="1827"/>
      <c r="DR51" s="1827"/>
      <c r="DS51" s="1827"/>
      <c r="DT51" s="1827"/>
      <c r="DU51" s="1827"/>
      <c r="DV51" s="1827"/>
      <c r="DW51" s="1827"/>
      <c r="DX51" s="1827"/>
      <c r="DY51" s="1827"/>
      <c r="DZ51" s="1827"/>
      <c r="EA51" s="1827"/>
      <c r="EB51" s="1827"/>
      <c r="EC51" s="1827"/>
      <c r="ED51" s="1827"/>
      <c r="EE51" s="1827"/>
      <c r="EF51" s="1827"/>
      <c r="EG51" s="1827"/>
      <c r="EH51" s="1827"/>
      <c r="EI51" s="1827"/>
      <c r="EJ51" s="1827"/>
      <c r="EK51" s="1827"/>
      <c r="EL51" s="1827"/>
      <c r="EM51" s="1827"/>
      <c r="EN51" s="1827"/>
      <c r="EO51" s="1827"/>
      <c r="EP51" s="1827"/>
      <c r="EQ51" s="1827"/>
      <c r="ER51" s="1827"/>
      <c r="ES51" s="1827"/>
      <c r="ET51" s="1827"/>
      <c r="EU51" s="1827"/>
      <c r="EV51" s="1827"/>
      <c r="EW51" s="1827"/>
      <c r="EX51" s="1827"/>
      <c r="EY51" s="1827"/>
      <c r="EZ51" s="1827"/>
      <c r="FA51" s="1827"/>
      <c r="FB51" s="1827"/>
      <c r="FC51" s="1827"/>
      <c r="FD51" s="1827"/>
      <c r="FE51" s="1827"/>
      <c r="FF51" s="1827"/>
      <c r="FG51" s="1827"/>
      <c r="FH51" s="1827"/>
      <c r="FI51" s="1827"/>
      <c r="FJ51" s="1827"/>
      <c r="FK51" s="1827"/>
      <c r="FL51" s="1827"/>
      <c r="FM51" s="1827"/>
      <c r="FN51" s="1827"/>
      <c r="FO51" s="1827"/>
      <c r="FP51" s="1827"/>
      <c r="FQ51" s="1827"/>
      <c r="FR51" s="1827"/>
      <c r="FS51" s="1827"/>
      <c r="FT51" s="1827"/>
      <c r="FU51" s="1827"/>
      <c r="FV51" s="1827"/>
      <c r="FW51" s="1827"/>
      <c r="FX51" s="1827"/>
      <c r="FY51" s="1827"/>
      <c r="FZ51" s="1827"/>
      <c r="GA51" s="1827"/>
      <c r="GB51" s="1827"/>
      <c r="GC51" s="1827"/>
      <c r="GD51" s="1827"/>
      <c r="GE51" s="1827"/>
      <c r="GF51" s="1827"/>
      <c r="GG51" s="1827"/>
      <c r="GH51" s="1827"/>
      <c r="GI51" s="1827"/>
      <c r="GJ51" s="1827"/>
      <c r="GK51" s="1827"/>
      <c r="GL51" s="1827"/>
      <c r="GM51" s="1827"/>
      <c r="GN51" s="1827"/>
      <c r="GO51" s="1827"/>
      <c r="GP51" s="1827"/>
      <c r="GQ51" s="1827"/>
      <c r="GR51" s="1827"/>
      <c r="GS51" s="1827"/>
      <c r="GT51" s="1827"/>
      <c r="GU51" s="1827"/>
      <c r="GV51" s="1827"/>
      <c r="GW51" s="1827"/>
      <c r="GX51" s="1827"/>
      <c r="GY51" s="1827"/>
      <c r="GZ51" s="1827"/>
      <c r="HA51" s="1827"/>
      <c r="HB51" s="1827"/>
      <c r="HC51" s="1827"/>
      <c r="HD51" s="1827"/>
      <c r="HE51" s="1827"/>
      <c r="HF51" s="1827"/>
      <c r="HG51" s="1827"/>
      <c r="HH51" s="1827"/>
      <c r="HI51" s="1827"/>
      <c r="HJ51" s="1827"/>
      <c r="HK51" s="1827"/>
      <c r="HL51" s="1827"/>
      <c r="HM51" s="1827"/>
      <c r="HN51" s="1827"/>
      <c r="HO51" s="1827"/>
      <c r="HP51" s="1827"/>
      <c r="HQ51" s="1827"/>
      <c r="HR51" s="1827"/>
      <c r="HS51" s="1827"/>
      <c r="HT51" s="1827"/>
      <c r="HU51" s="1827"/>
      <c r="HV51" s="1827"/>
      <c r="HW51" s="1827"/>
      <c r="HX51" s="1827"/>
      <c r="HY51" s="1827"/>
      <c r="HZ51" s="1827"/>
      <c r="IA51" s="1827"/>
      <c r="IB51" s="1827"/>
      <c r="IC51" s="1827"/>
      <c r="ID51" s="1827"/>
      <c r="IE51" s="1827"/>
      <c r="IF51" s="1827"/>
      <c r="IG51" s="1827"/>
      <c r="IH51" s="1827"/>
      <c r="II51" s="1827"/>
      <c r="IJ51" s="1827"/>
      <c r="IK51" s="1827"/>
      <c r="IL51" s="1827"/>
      <c r="IM51" s="1827"/>
      <c r="IN51" s="1827"/>
      <c r="IO51" s="1827"/>
      <c r="IP51" s="1827"/>
      <c r="IQ51" s="1827"/>
      <c r="IR51" s="1827"/>
      <c r="IS51" s="1827"/>
      <c r="IT51" s="1827"/>
      <c r="IU51" s="1827"/>
      <c r="IV51" s="1827"/>
    </row>
    <row r="52" spans="1:256">
      <c r="A52" s="1831">
        <f t="shared" si="9"/>
        <v>32</v>
      </c>
      <c r="B52" s="1828" t="s">
        <v>329</v>
      </c>
      <c r="C52" s="1149">
        <f t="shared" si="10"/>
        <v>0</v>
      </c>
      <c r="D52" s="1149">
        <f t="shared" si="11"/>
        <v>0</v>
      </c>
      <c r="E52" s="1828">
        <v>31</v>
      </c>
      <c r="F52" s="964">
        <v>123</v>
      </c>
      <c r="G52" s="1839">
        <f t="shared" si="6"/>
        <v>0.33698630136986302</v>
      </c>
      <c r="H52" s="1149">
        <f t="shared" si="7"/>
        <v>0</v>
      </c>
      <c r="I52" s="1149">
        <f t="shared" si="8"/>
        <v>0</v>
      </c>
      <c r="J52" s="1827"/>
      <c r="K52" s="1827"/>
      <c r="L52" s="1827"/>
      <c r="M52" s="1827"/>
      <c r="N52" s="1827"/>
      <c r="O52" s="1827"/>
      <c r="P52" s="1827"/>
      <c r="Q52" s="1827"/>
      <c r="R52" s="1827"/>
      <c r="S52" s="1827"/>
      <c r="T52" s="1827"/>
      <c r="U52" s="1827"/>
      <c r="V52" s="1827"/>
      <c r="W52" s="1827"/>
      <c r="X52" s="1827"/>
      <c r="Y52" s="1827"/>
      <c r="Z52" s="1827"/>
      <c r="AA52" s="1827"/>
      <c r="AB52" s="1827"/>
      <c r="AC52" s="1827"/>
      <c r="AD52" s="1827"/>
      <c r="AE52" s="1827"/>
      <c r="AF52" s="1827"/>
      <c r="AG52" s="1827"/>
      <c r="AH52" s="1827"/>
      <c r="AI52" s="1827"/>
      <c r="AJ52" s="1827"/>
      <c r="AK52" s="1827"/>
      <c r="AL52" s="1827"/>
      <c r="AM52" s="1827"/>
      <c r="AN52" s="1827"/>
      <c r="AO52" s="1827"/>
      <c r="AP52" s="1827"/>
      <c r="AQ52" s="1827"/>
      <c r="AR52" s="1827"/>
      <c r="AS52" s="1827"/>
      <c r="AT52" s="1827"/>
      <c r="AU52" s="1827"/>
      <c r="AV52" s="1827"/>
      <c r="AW52" s="1827"/>
      <c r="AX52" s="1827"/>
      <c r="AY52" s="1827"/>
      <c r="AZ52" s="1827"/>
      <c r="BA52" s="1827"/>
      <c r="BB52" s="1827"/>
      <c r="BC52" s="1827"/>
      <c r="BD52" s="1827"/>
      <c r="BE52" s="1827"/>
      <c r="BF52" s="1827"/>
      <c r="BG52" s="1827"/>
      <c r="BH52" s="1827"/>
      <c r="BI52" s="1827"/>
      <c r="BJ52" s="1827"/>
      <c r="BK52" s="1827"/>
      <c r="BL52" s="1827"/>
      <c r="BM52" s="1827"/>
      <c r="BN52" s="1827"/>
      <c r="BO52" s="1827"/>
      <c r="BP52" s="1827"/>
      <c r="BQ52" s="1827"/>
      <c r="BR52" s="1827"/>
      <c r="BS52" s="1827"/>
      <c r="BT52" s="1827"/>
      <c r="BU52" s="1827"/>
      <c r="BV52" s="1827"/>
      <c r="BW52" s="1827"/>
      <c r="BX52" s="1827"/>
      <c r="BY52" s="1827"/>
      <c r="BZ52" s="1827"/>
      <c r="CA52" s="1827"/>
      <c r="CB52" s="1827"/>
      <c r="CC52" s="1827"/>
      <c r="CD52" s="1827"/>
      <c r="CE52" s="1827"/>
      <c r="CF52" s="1827"/>
      <c r="CG52" s="1827"/>
      <c r="CH52" s="1827"/>
      <c r="CI52" s="1827"/>
      <c r="CJ52" s="1827"/>
      <c r="CK52" s="1827"/>
      <c r="CL52" s="1827"/>
      <c r="CM52" s="1827"/>
      <c r="CN52" s="1827"/>
      <c r="CO52" s="1827"/>
      <c r="CP52" s="1827"/>
      <c r="CQ52" s="1827"/>
      <c r="CR52" s="1827"/>
      <c r="CS52" s="1827"/>
      <c r="CT52" s="1827"/>
      <c r="CU52" s="1827"/>
      <c r="CV52" s="1827"/>
      <c r="CW52" s="1827"/>
      <c r="CX52" s="1827"/>
      <c r="CY52" s="1827"/>
      <c r="CZ52" s="1827"/>
      <c r="DA52" s="1827"/>
      <c r="DB52" s="1827"/>
      <c r="DC52" s="1827"/>
      <c r="DD52" s="1827"/>
      <c r="DE52" s="1827"/>
      <c r="DF52" s="1827"/>
      <c r="DG52" s="1827"/>
      <c r="DH52" s="1827"/>
      <c r="DI52" s="1827"/>
      <c r="DJ52" s="1827"/>
      <c r="DK52" s="1827"/>
      <c r="DL52" s="1827"/>
      <c r="DM52" s="1827"/>
      <c r="DN52" s="1827"/>
      <c r="DO52" s="1827"/>
      <c r="DP52" s="1827"/>
      <c r="DQ52" s="1827"/>
      <c r="DR52" s="1827"/>
      <c r="DS52" s="1827"/>
      <c r="DT52" s="1827"/>
      <c r="DU52" s="1827"/>
      <c r="DV52" s="1827"/>
      <c r="DW52" s="1827"/>
      <c r="DX52" s="1827"/>
      <c r="DY52" s="1827"/>
      <c r="DZ52" s="1827"/>
      <c r="EA52" s="1827"/>
      <c r="EB52" s="1827"/>
      <c r="EC52" s="1827"/>
      <c r="ED52" s="1827"/>
      <c r="EE52" s="1827"/>
      <c r="EF52" s="1827"/>
      <c r="EG52" s="1827"/>
      <c r="EH52" s="1827"/>
      <c r="EI52" s="1827"/>
      <c r="EJ52" s="1827"/>
      <c r="EK52" s="1827"/>
      <c r="EL52" s="1827"/>
      <c r="EM52" s="1827"/>
      <c r="EN52" s="1827"/>
      <c r="EO52" s="1827"/>
      <c r="EP52" s="1827"/>
      <c r="EQ52" s="1827"/>
      <c r="ER52" s="1827"/>
      <c r="ES52" s="1827"/>
      <c r="ET52" s="1827"/>
      <c r="EU52" s="1827"/>
      <c r="EV52" s="1827"/>
      <c r="EW52" s="1827"/>
      <c r="EX52" s="1827"/>
      <c r="EY52" s="1827"/>
      <c r="EZ52" s="1827"/>
      <c r="FA52" s="1827"/>
      <c r="FB52" s="1827"/>
      <c r="FC52" s="1827"/>
      <c r="FD52" s="1827"/>
      <c r="FE52" s="1827"/>
      <c r="FF52" s="1827"/>
      <c r="FG52" s="1827"/>
      <c r="FH52" s="1827"/>
      <c r="FI52" s="1827"/>
      <c r="FJ52" s="1827"/>
      <c r="FK52" s="1827"/>
      <c r="FL52" s="1827"/>
      <c r="FM52" s="1827"/>
      <c r="FN52" s="1827"/>
      <c r="FO52" s="1827"/>
      <c r="FP52" s="1827"/>
      <c r="FQ52" s="1827"/>
      <c r="FR52" s="1827"/>
      <c r="FS52" s="1827"/>
      <c r="FT52" s="1827"/>
      <c r="FU52" s="1827"/>
      <c r="FV52" s="1827"/>
      <c r="FW52" s="1827"/>
      <c r="FX52" s="1827"/>
      <c r="FY52" s="1827"/>
      <c r="FZ52" s="1827"/>
      <c r="GA52" s="1827"/>
      <c r="GB52" s="1827"/>
      <c r="GC52" s="1827"/>
      <c r="GD52" s="1827"/>
      <c r="GE52" s="1827"/>
      <c r="GF52" s="1827"/>
      <c r="GG52" s="1827"/>
      <c r="GH52" s="1827"/>
      <c r="GI52" s="1827"/>
      <c r="GJ52" s="1827"/>
      <c r="GK52" s="1827"/>
      <c r="GL52" s="1827"/>
      <c r="GM52" s="1827"/>
      <c r="GN52" s="1827"/>
      <c r="GO52" s="1827"/>
      <c r="GP52" s="1827"/>
      <c r="GQ52" s="1827"/>
      <c r="GR52" s="1827"/>
      <c r="GS52" s="1827"/>
      <c r="GT52" s="1827"/>
      <c r="GU52" s="1827"/>
      <c r="GV52" s="1827"/>
      <c r="GW52" s="1827"/>
      <c r="GX52" s="1827"/>
      <c r="GY52" s="1827"/>
      <c r="GZ52" s="1827"/>
      <c r="HA52" s="1827"/>
      <c r="HB52" s="1827"/>
      <c r="HC52" s="1827"/>
      <c r="HD52" s="1827"/>
      <c r="HE52" s="1827"/>
      <c r="HF52" s="1827"/>
      <c r="HG52" s="1827"/>
      <c r="HH52" s="1827"/>
      <c r="HI52" s="1827"/>
      <c r="HJ52" s="1827"/>
      <c r="HK52" s="1827"/>
      <c r="HL52" s="1827"/>
      <c r="HM52" s="1827"/>
      <c r="HN52" s="1827"/>
      <c r="HO52" s="1827"/>
      <c r="HP52" s="1827"/>
      <c r="HQ52" s="1827"/>
      <c r="HR52" s="1827"/>
      <c r="HS52" s="1827"/>
      <c r="HT52" s="1827"/>
      <c r="HU52" s="1827"/>
      <c r="HV52" s="1827"/>
      <c r="HW52" s="1827"/>
      <c r="HX52" s="1827"/>
      <c r="HY52" s="1827"/>
      <c r="HZ52" s="1827"/>
      <c r="IA52" s="1827"/>
      <c r="IB52" s="1827"/>
      <c r="IC52" s="1827"/>
      <c r="ID52" s="1827"/>
      <c r="IE52" s="1827"/>
      <c r="IF52" s="1827"/>
      <c r="IG52" s="1827"/>
      <c r="IH52" s="1827"/>
      <c r="II52" s="1827"/>
      <c r="IJ52" s="1827"/>
      <c r="IK52" s="1827"/>
      <c r="IL52" s="1827"/>
      <c r="IM52" s="1827"/>
      <c r="IN52" s="1827"/>
      <c r="IO52" s="1827"/>
      <c r="IP52" s="1827"/>
      <c r="IQ52" s="1827"/>
      <c r="IR52" s="1827"/>
      <c r="IS52" s="1827"/>
      <c r="IT52" s="1827"/>
      <c r="IU52" s="1827"/>
      <c r="IV52" s="1827"/>
    </row>
    <row r="53" spans="1:256">
      <c r="A53" s="1831">
        <f t="shared" si="9"/>
        <v>33</v>
      </c>
      <c r="B53" s="1828" t="s">
        <v>331</v>
      </c>
      <c r="C53" s="1149">
        <f t="shared" si="10"/>
        <v>0</v>
      </c>
      <c r="D53" s="1149">
        <f t="shared" si="11"/>
        <v>0</v>
      </c>
      <c r="E53" s="1828">
        <v>30</v>
      </c>
      <c r="F53" s="964">
        <v>93</v>
      </c>
      <c r="G53" s="1839">
        <f t="shared" si="6"/>
        <v>0.25479452054794521</v>
      </c>
      <c r="H53" s="1149">
        <f t="shared" si="7"/>
        <v>0</v>
      </c>
      <c r="I53" s="1149">
        <f t="shared" si="8"/>
        <v>0</v>
      </c>
      <c r="J53" s="1827"/>
      <c r="K53" s="1827"/>
      <c r="L53" s="1827"/>
      <c r="M53" s="1827"/>
      <c r="N53" s="1827"/>
      <c r="O53" s="1827"/>
      <c r="P53" s="1827"/>
      <c r="Q53" s="1827"/>
      <c r="R53" s="1827"/>
      <c r="S53" s="1827"/>
      <c r="T53" s="1827"/>
      <c r="U53" s="1827"/>
      <c r="V53" s="1827"/>
      <c r="W53" s="1827"/>
      <c r="X53" s="1827"/>
      <c r="Y53" s="1827"/>
      <c r="Z53" s="1827"/>
      <c r="AA53" s="1827"/>
      <c r="AB53" s="1827"/>
      <c r="AC53" s="1827"/>
      <c r="AD53" s="1827"/>
      <c r="AE53" s="1827"/>
      <c r="AF53" s="1827"/>
      <c r="AG53" s="1827"/>
      <c r="AH53" s="1827"/>
      <c r="AI53" s="1827"/>
      <c r="AJ53" s="1827"/>
      <c r="AK53" s="1827"/>
      <c r="AL53" s="1827"/>
      <c r="AM53" s="1827"/>
      <c r="AN53" s="1827"/>
      <c r="AO53" s="1827"/>
      <c r="AP53" s="1827"/>
      <c r="AQ53" s="1827"/>
      <c r="AR53" s="1827"/>
      <c r="AS53" s="1827"/>
      <c r="AT53" s="1827"/>
      <c r="AU53" s="1827"/>
      <c r="AV53" s="1827"/>
      <c r="AW53" s="1827"/>
      <c r="AX53" s="1827"/>
      <c r="AY53" s="1827"/>
      <c r="AZ53" s="1827"/>
      <c r="BA53" s="1827"/>
      <c r="BB53" s="1827"/>
      <c r="BC53" s="1827"/>
      <c r="BD53" s="1827"/>
      <c r="BE53" s="1827"/>
      <c r="BF53" s="1827"/>
      <c r="BG53" s="1827"/>
      <c r="BH53" s="1827"/>
      <c r="BI53" s="1827"/>
      <c r="BJ53" s="1827"/>
      <c r="BK53" s="1827"/>
      <c r="BL53" s="1827"/>
      <c r="BM53" s="1827"/>
      <c r="BN53" s="1827"/>
      <c r="BO53" s="1827"/>
      <c r="BP53" s="1827"/>
      <c r="BQ53" s="1827"/>
      <c r="BR53" s="1827"/>
      <c r="BS53" s="1827"/>
      <c r="BT53" s="1827"/>
      <c r="BU53" s="1827"/>
      <c r="BV53" s="1827"/>
      <c r="BW53" s="1827"/>
      <c r="BX53" s="1827"/>
      <c r="BY53" s="1827"/>
      <c r="BZ53" s="1827"/>
      <c r="CA53" s="1827"/>
      <c r="CB53" s="1827"/>
      <c r="CC53" s="1827"/>
      <c r="CD53" s="1827"/>
      <c r="CE53" s="1827"/>
      <c r="CF53" s="1827"/>
      <c r="CG53" s="1827"/>
      <c r="CH53" s="1827"/>
      <c r="CI53" s="1827"/>
      <c r="CJ53" s="1827"/>
      <c r="CK53" s="1827"/>
      <c r="CL53" s="1827"/>
      <c r="CM53" s="1827"/>
      <c r="CN53" s="1827"/>
      <c r="CO53" s="1827"/>
      <c r="CP53" s="1827"/>
      <c r="CQ53" s="1827"/>
      <c r="CR53" s="1827"/>
      <c r="CS53" s="1827"/>
      <c r="CT53" s="1827"/>
      <c r="CU53" s="1827"/>
      <c r="CV53" s="1827"/>
      <c r="CW53" s="1827"/>
      <c r="CX53" s="1827"/>
      <c r="CY53" s="1827"/>
      <c r="CZ53" s="1827"/>
      <c r="DA53" s="1827"/>
      <c r="DB53" s="1827"/>
      <c r="DC53" s="1827"/>
      <c r="DD53" s="1827"/>
      <c r="DE53" s="1827"/>
      <c r="DF53" s="1827"/>
      <c r="DG53" s="1827"/>
      <c r="DH53" s="1827"/>
      <c r="DI53" s="1827"/>
      <c r="DJ53" s="1827"/>
      <c r="DK53" s="1827"/>
      <c r="DL53" s="1827"/>
      <c r="DM53" s="1827"/>
      <c r="DN53" s="1827"/>
      <c r="DO53" s="1827"/>
      <c r="DP53" s="1827"/>
      <c r="DQ53" s="1827"/>
      <c r="DR53" s="1827"/>
      <c r="DS53" s="1827"/>
      <c r="DT53" s="1827"/>
      <c r="DU53" s="1827"/>
      <c r="DV53" s="1827"/>
      <c r="DW53" s="1827"/>
      <c r="DX53" s="1827"/>
      <c r="DY53" s="1827"/>
      <c r="DZ53" s="1827"/>
      <c r="EA53" s="1827"/>
      <c r="EB53" s="1827"/>
      <c r="EC53" s="1827"/>
      <c r="ED53" s="1827"/>
      <c r="EE53" s="1827"/>
      <c r="EF53" s="1827"/>
      <c r="EG53" s="1827"/>
      <c r="EH53" s="1827"/>
      <c r="EI53" s="1827"/>
      <c r="EJ53" s="1827"/>
      <c r="EK53" s="1827"/>
      <c r="EL53" s="1827"/>
      <c r="EM53" s="1827"/>
      <c r="EN53" s="1827"/>
      <c r="EO53" s="1827"/>
      <c r="EP53" s="1827"/>
      <c r="EQ53" s="1827"/>
      <c r="ER53" s="1827"/>
      <c r="ES53" s="1827"/>
      <c r="ET53" s="1827"/>
      <c r="EU53" s="1827"/>
      <c r="EV53" s="1827"/>
      <c r="EW53" s="1827"/>
      <c r="EX53" s="1827"/>
      <c r="EY53" s="1827"/>
      <c r="EZ53" s="1827"/>
      <c r="FA53" s="1827"/>
      <c r="FB53" s="1827"/>
      <c r="FC53" s="1827"/>
      <c r="FD53" s="1827"/>
      <c r="FE53" s="1827"/>
      <c r="FF53" s="1827"/>
      <c r="FG53" s="1827"/>
      <c r="FH53" s="1827"/>
      <c r="FI53" s="1827"/>
      <c r="FJ53" s="1827"/>
      <c r="FK53" s="1827"/>
      <c r="FL53" s="1827"/>
      <c r="FM53" s="1827"/>
      <c r="FN53" s="1827"/>
      <c r="FO53" s="1827"/>
      <c r="FP53" s="1827"/>
      <c r="FQ53" s="1827"/>
      <c r="FR53" s="1827"/>
      <c r="FS53" s="1827"/>
      <c r="FT53" s="1827"/>
      <c r="FU53" s="1827"/>
      <c r="FV53" s="1827"/>
      <c r="FW53" s="1827"/>
      <c r="FX53" s="1827"/>
      <c r="FY53" s="1827"/>
      <c r="FZ53" s="1827"/>
      <c r="GA53" s="1827"/>
      <c r="GB53" s="1827"/>
      <c r="GC53" s="1827"/>
      <c r="GD53" s="1827"/>
      <c r="GE53" s="1827"/>
      <c r="GF53" s="1827"/>
      <c r="GG53" s="1827"/>
      <c r="GH53" s="1827"/>
      <c r="GI53" s="1827"/>
      <c r="GJ53" s="1827"/>
      <c r="GK53" s="1827"/>
      <c r="GL53" s="1827"/>
      <c r="GM53" s="1827"/>
      <c r="GN53" s="1827"/>
      <c r="GO53" s="1827"/>
      <c r="GP53" s="1827"/>
      <c r="GQ53" s="1827"/>
      <c r="GR53" s="1827"/>
      <c r="GS53" s="1827"/>
      <c r="GT53" s="1827"/>
      <c r="GU53" s="1827"/>
      <c r="GV53" s="1827"/>
      <c r="GW53" s="1827"/>
      <c r="GX53" s="1827"/>
      <c r="GY53" s="1827"/>
      <c r="GZ53" s="1827"/>
      <c r="HA53" s="1827"/>
      <c r="HB53" s="1827"/>
      <c r="HC53" s="1827"/>
      <c r="HD53" s="1827"/>
      <c r="HE53" s="1827"/>
      <c r="HF53" s="1827"/>
      <c r="HG53" s="1827"/>
      <c r="HH53" s="1827"/>
      <c r="HI53" s="1827"/>
      <c r="HJ53" s="1827"/>
      <c r="HK53" s="1827"/>
      <c r="HL53" s="1827"/>
      <c r="HM53" s="1827"/>
      <c r="HN53" s="1827"/>
      <c r="HO53" s="1827"/>
      <c r="HP53" s="1827"/>
      <c r="HQ53" s="1827"/>
      <c r="HR53" s="1827"/>
      <c r="HS53" s="1827"/>
      <c r="HT53" s="1827"/>
      <c r="HU53" s="1827"/>
      <c r="HV53" s="1827"/>
      <c r="HW53" s="1827"/>
      <c r="HX53" s="1827"/>
      <c r="HY53" s="1827"/>
      <c r="HZ53" s="1827"/>
      <c r="IA53" s="1827"/>
      <c r="IB53" s="1827"/>
      <c r="IC53" s="1827"/>
      <c r="ID53" s="1827"/>
      <c r="IE53" s="1827"/>
      <c r="IF53" s="1827"/>
      <c r="IG53" s="1827"/>
      <c r="IH53" s="1827"/>
      <c r="II53" s="1827"/>
      <c r="IJ53" s="1827"/>
      <c r="IK53" s="1827"/>
      <c r="IL53" s="1827"/>
      <c r="IM53" s="1827"/>
      <c r="IN53" s="1827"/>
      <c r="IO53" s="1827"/>
      <c r="IP53" s="1827"/>
      <c r="IQ53" s="1827"/>
      <c r="IR53" s="1827"/>
      <c r="IS53" s="1827"/>
      <c r="IT53" s="1827"/>
      <c r="IU53" s="1827"/>
      <c r="IV53" s="1827"/>
    </row>
    <row r="54" spans="1:256">
      <c r="A54" s="1831">
        <f t="shared" si="9"/>
        <v>34</v>
      </c>
      <c r="B54" s="1828" t="s">
        <v>518</v>
      </c>
      <c r="C54" s="1149">
        <f t="shared" si="10"/>
        <v>0</v>
      </c>
      <c r="D54" s="1149">
        <f t="shared" si="11"/>
        <v>0</v>
      </c>
      <c r="E54" s="1828">
        <v>31</v>
      </c>
      <c r="F54" s="964">
        <v>62</v>
      </c>
      <c r="G54" s="1839">
        <f t="shared" si="6"/>
        <v>0.16986301369863013</v>
      </c>
      <c r="H54" s="1149">
        <f t="shared" si="7"/>
        <v>0</v>
      </c>
      <c r="I54" s="1149">
        <f t="shared" si="8"/>
        <v>0</v>
      </c>
      <c r="J54" s="1827"/>
      <c r="K54" s="1827"/>
      <c r="L54" s="1827"/>
      <c r="M54" s="1827"/>
      <c r="N54" s="1827"/>
      <c r="O54" s="1827"/>
      <c r="P54" s="1827"/>
      <c r="Q54" s="1827"/>
      <c r="R54" s="1827"/>
      <c r="S54" s="1827"/>
      <c r="T54" s="1827"/>
      <c r="U54" s="1827"/>
      <c r="V54" s="1827"/>
      <c r="W54" s="1827"/>
      <c r="X54" s="1827"/>
      <c r="Y54" s="1827"/>
      <c r="Z54" s="1827"/>
      <c r="AA54" s="1827"/>
      <c r="AB54" s="1827"/>
      <c r="AC54" s="1827"/>
      <c r="AD54" s="1827"/>
      <c r="AE54" s="1827"/>
      <c r="AF54" s="1827"/>
      <c r="AG54" s="1827"/>
      <c r="AH54" s="1827"/>
      <c r="AI54" s="1827"/>
      <c r="AJ54" s="1827"/>
      <c r="AK54" s="1827"/>
      <c r="AL54" s="1827"/>
      <c r="AM54" s="1827"/>
      <c r="AN54" s="1827"/>
      <c r="AO54" s="1827"/>
      <c r="AP54" s="1827"/>
      <c r="AQ54" s="1827"/>
      <c r="AR54" s="1827"/>
      <c r="AS54" s="1827"/>
      <c r="AT54" s="1827"/>
      <c r="AU54" s="1827"/>
      <c r="AV54" s="1827"/>
      <c r="AW54" s="1827"/>
      <c r="AX54" s="1827"/>
      <c r="AY54" s="1827"/>
      <c r="AZ54" s="1827"/>
      <c r="BA54" s="1827"/>
      <c r="BB54" s="1827"/>
      <c r="BC54" s="1827"/>
      <c r="BD54" s="1827"/>
      <c r="BE54" s="1827"/>
      <c r="BF54" s="1827"/>
      <c r="BG54" s="1827"/>
      <c r="BH54" s="1827"/>
      <c r="BI54" s="1827"/>
      <c r="BJ54" s="1827"/>
      <c r="BK54" s="1827"/>
      <c r="BL54" s="1827"/>
      <c r="BM54" s="1827"/>
      <c r="BN54" s="1827"/>
      <c r="BO54" s="1827"/>
      <c r="BP54" s="1827"/>
      <c r="BQ54" s="1827"/>
      <c r="BR54" s="1827"/>
      <c r="BS54" s="1827"/>
      <c r="BT54" s="1827"/>
      <c r="BU54" s="1827"/>
      <c r="BV54" s="1827"/>
      <c r="BW54" s="1827"/>
      <c r="BX54" s="1827"/>
      <c r="BY54" s="1827"/>
      <c r="BZ54" s="1827"/>
      <c r="CA54" s="1827"/>
      <c r="CB54" s="1827"/>
      <c r="CC54" s="1827"/>
      <c r="CD54" s="1827"/>
      <c r="CE54" s="1827"/>
      <c r="CF54" s="1827"/>
      <c r="CG54" s="1827"/>
      <c r="CH54" s="1827"/>
      <c r="CI54" s="1827"/>
      <c r="CJ54" s="1827"/>
      <c r="CK54" s="1827"/>
      <c r="CL54" s="1827"/>
      <c r="CM54" s="1827"/>
      <c r="CN54" s="1827"/>
      <c r="CO54" s="1827"/>
      <c r="CP54" s="1827"/>
      <c r="CQ54" s="1827"/>
      <c r="CR54" s="1827"/>
      <c r="CS54" s="1827"/>
      <c r="CT54" s="1827"/>
      <c r="CU54" s="1827"/>
      <c r="CV54" s="1827"/>
      <c r="CW54" s="1827"/>
      <c r="CX54" s="1827"/>
      <c r="CY54" s="1827"/>
      <c r="CZ54" s="1827"/>
      <c r="DA54" s="1827"/>
      <c r="DB54" s="1827"/>
      <c r="DC54" s="1827"/>
      <c r="DD54" s="1827"/>
      <c r="DE54" s="1827"/>
      <c r="DF54" s="1827"/>
      <c r="DG54" s="1827"/>
      <c r="DH54" s="1827"/>
      <c r="DI54" s="1827"/>
      <c r="DJ54" s="1827"/>
      <c r="DK54" s="1827"/>
      <c r="DL54" s="1827"/>
      <c r="DM54" s="1827"/>
      <c r="DN54" s="1827"/>
      <c r="DO54" s="1827"/>
      <c r="DP54" s="1827"/>
      <c r="DQ54" s="1827"/>
      <c r="DR54" s="1827"/>
      <c r="DS54" s="1827"/>
      <c r="DT54" s="1827"/>
      <c r="DU54" s="1827"/>
      <c r="DV54" s="1827"/>
      <c r="DW54" s="1827"/>
      <c r="DX54" s="1827"/>
      <c r="DY54" s="1827"/>
      <c r="DZ54" s="1827"/>
      <c r="EA54" s="1827"/>
      <c r="EB54" s="1827"/>
      <c r="EC54" s="1827"/>
      <c r="ED54" s="1827"/>
      <c r="EE54" s="1827"/>
      <c r="EF54" s="1827"/>
      <c r="EG54" s="1827"/>
      <c r="EH54" s="1827"/>
      <c r="EI54" s="1827"/>
      <c r="EJ54" s="1827"/>
      <c r="EK54" s="1827"/>
      <c r="EL54" s="1827"/>
      <c r="EM54" s="1827"/>
      <c r="EN54" s="1827"/>
      <c r="EO54" s="1827"/>
      <c r="EP54" s="1827"/>
      <c r="EQ54" s="1827"/>
      <c r="ER54" s="1827"/>
      <c r="ES54" s="1827"/>
      <c r="ET54" s="1827"/>
      <c r="EU54" s="1827"/>
      <c r="EV54" s="1827"/>
      <c r="EW54" s="1827"/>
      <c r="EX54" s="1827"/>
      <c r="EY54" s="1827"/>
      <c r="EZ54" s="1827"/>
      <c r="FA54" s="1827"/>
      <c r="FB54" s="1827"/>
      <c r="FC54" s="1827"/>
      <c r="FD54" s="1827"/>
      <c r="FE54" s="1827"/>
      <c r="FF54" s="1827"/>
      <c r="FG54" s="1827"/>
      <c r="FH54" s="1827"/>
      <c r="FI54" s="1827"/>
      <c r="FJ54" s="1827"/>
      <c r="FK54" s="1827"/>
      <c r="FL54" s="1827"/>
      <c r="FM54" s="1827"/>
      <c r="FN54" s="1827"/>
      <c r="FO54" s="1827"/>
      <c r="FP54" s="1827"/>
      <c r="FQ54" s="1827"/>
      <c r="FR54" s="1827"/>
      <c r="FS54" s="1827"/>
      <c r="FT54" s="1827"/>
      <c r="FU54" s="1827"/>
      <c r="FV54" s="1827"/>
      <c r="FW54" s="1827"/>
      <c r="FX54" s="1827"/>
      <c r="FY54" s="1827"/>
      <c r="FZ54" s="1827"/>
      <c r="GA54" s="1827"/>
      <c r="GB54" s="1827"/>
      <c r="GC54" s="1827"/>
      <c r="GD54" s="1827"/>
      <c r="GE54" s="1827"/>
      <c r="GF54" s="1827"/>
      <c r="GG54" s="1827"/>
      <c r="GH54" s="1827"/>
      <c r="GI54" s="1827"/>
      <c r="GJ54" s="1827"/>
      <c r="GK54" s="1827"/>
      <c r="GL54" s="1827"/>
      <c r="GM54" s="1827"/>
      <c r="GN54" s="1827"/>
      <c r="GO54" s="1827"/>
      <c r="GP54" s="1827"/>
      <c r="GQ54" s="1827"/>
      <c r="GR54" s="1827"/>
      <c r="GS54" s="1827"/>
      <c r="GT54" s="1827"/>
      <c r="GU54" s="1827"/>
      <c r="GV54" s="1827"/>
      <c r="GW54" s="1827"/>
      <c r="GX54" s="1827"/>
      <c r="GY54" s="1827"/>
      <c r="GZ54" s="1827"/>
      <c r="HA54" s="1827"/>
      <c r="HB54" s="1827"/>
      <c r="HC54" s="1827"/>
      <c r="HD54" s="1827"/>
      <c r="HE54" s="1827"/>
      <c r="HF54" s="1827"/>
      <c r="HG54" s="1827"/>
      <c r="HH54" s="1827"/>
      <c r="HI54" s="1827"/>
      <c r="HJ54" s="1827"/>
      <c r="HK54" s="1827"/>
      <c r="HL54" s="1827"/>
      <c r="HM54" s="1827"/>
      <c r="HN54" s="1827"/>
      <c r="HO54" s="1827"/>
      <c r="HP54" s="1827"/>
      <c r="HQ54" s="1827"/>
      <c r="HR54" s="1827"/>
      <c r="HS54" s="1827"/>
      <c r="HT54" s="1827"/>
      <c r="HU54" s="1827"/>
      <c r="HV54" s="1827"/>
      <c r="HW54" s="1827"/>
      <c r="HX54" s="1827"/>
      <c r="HY54" s="1827"/>
      <c r="HZ54" s="1827"/>
      <c r="IA54" s="1827"/>
      <c r="IB54" s="1827"/>
      <c r="IC54" s="1827"/>
      <c r="ID54" s="1827"/>
      <c r="IE54" s="1827"/>
      <c r="IF54" s="1827"/>
      <c r="IG54" s="1827"/>
      <c r="IH54" s="1827"/>
      <c r="II54" s="1827"/>
      <c r="IJ54" s="1827"/>
      <c r="IK54" s="1827"/>
      <c r="IL54" s="1827"/>
      <c r="IM54" s="1827"/>
      <c r="IN54" s="1827"/>
      <c r="IO54" s="1827"/>
      <c r="IP54" s="1827"/>
      <c r="IQ54" s="1827"/>
      <c r="IR54" s="1827"/>
      <c r="IS54" s="1827"/>
      <c r="IT54" s="1827"/>
      <c r="IU54" s="1827"/>
      <c r="IV54" s="1827"/>
    </row>
    <row r="55" spans="1:256">
      <c r="A55" s="1831">
        <f t="shared" si="9"/>
        <v>35</v>
      </c>
      <c r="B55" s="1828" t="s">
        <v>519</v>
      </c>
      <c r="C55" s="1149">
        <f t="shared" si="10"/>
        <v>0</v>
      </c>
      <c r="D55" s="1149">
        <f t="shared" si="11"/>
        <v>0</v>
      </c>
      <c r="E55" s="1828">
        <v>30</v>
      </c>
      <c r="F55" s="964">
        <v>32</v>
      </c>
      <c r="G55" s="1839">
        <f t="shared" si="6"/>
        <v>8.7671232876712329E-2</v>
      </c>
      <c r="H55" s="1149">
        <f t="shared" si="7"/>
        <v>0</v>
      </c>
      <c r="I55" s="1149">
        <f t="shared" si="8"/>
        <v>0</v>
      </c>
      <c r="J55" s="1827"/>
      <c r="K55" s="1827"/>
      <c r="L55" s="1827"/>
      <c r="M55" s="1827"/>
      <c r="N55" s="1827"/>
      <c r="O55" s="1827"/>
      <c r="P55" s="1827"/>
      <c r="Q55" s="1827"/>
      <c r="R55" s="1827"/>
      <c r="S55" s="1827"/>
      <c r="T55" s="1827"/>
      <c r="U55" s="1827"/>
      <c r="V55" s="1827"/>
      <c r="W55" s="1827"/>
      <c r="X55" s="1827"/>
      <c r="Y55" s="1827"/>
      <c r="Z55" s="1827"/>
      <c r="AA55" s="1827"/>
      <c r="AB55" s="1827"/>
      <c r="AC55" s="1827"/>
      <c r="AD55" s="1827"/>
      <c r="AE55" s="1827"/>
      <c r="AF55" s="1827"/>
      <c r="AG55" s="1827"/>
      <c r="AH55" s="1827"/>
      <c r="AI55" s="1827"/>
      <c r="AJ55" s="1827"/>
      <c r="AK55" s="1827"/>
      <c r="AL55" s="1827"/>
      <c r="AM55" s="1827"/>
      <c r="AN55" s="1827"/>
      <c r="AO55" s="1827"/>
      <c r="AP55" s="1827"/>
      <c r="AQ55" s="1827"/>
      <c r="AR55" s="1827"/>
      <c r="AS55" s="1827"/>
      <c r="AT55" s="1827"/>
      <c r="AU55" s="1827"/>
      <c r="AV55" s="1827"/>
      <c r="AW55" s="1827"/>
      <c r="AX55" s="1827"/>
      <c r="AY55" s="1827"/>
      <c r="AZ55" s="1827"/>
      <c r="BA55" s="1827"/>
      <c r="BB55" s="1827"/>
      <c r="BC55" s="1827"/>
      <c r="BD55" s="1827"/>
      <c r="BE55" s="1827"/>
      <c r="BF55" s="1827"/>
      <c r="BG55" s="1827"/>
      <c r="BH55" s="1827"/>
      <c r="BI55" s="1827"/>
      <c r="BJ55" s="1827"/>
      <c r="BK55" s="1827"/>
      <c r="BL55" s="1827"/>
      <c r="BM55" s="1827"/>
      <c r="BN55" s="1827"/>
      <c r="BO55" s="1827"/>
      <c r="BP55" s="1827"/>
      <c r="BQ55" s="1827"/>
      <c r="BR55" s="1827"/>
      <c r="BS55" s="1827"/>
      <c r="BT55" s="1827"/>
      <c r="BU55" s="1827"/>
      <c r="BV55" s="1827"/>
      <c r="BW55" s="1827"/>
      <c r="BX55" s="1827"/>
      <c r="BY55" s="1827"/>
      <c r="BZ55" s="1827"/>
      <c r="CA55" s="1827"/>
      <c r="CB55" s="1827"/>
      <c r="CC55" s="1827"/>
      <c r="CD55" s="1827"/>
      <c r="CE55" s="1827"/>
      <c r="CF55" s="1827"/>
      <c r="CG55" s="1827"/>
      <c r="CH55" s="1827"/>
      <c r="CI55" s="1827"/>
      <c r="CJ55" s="1827"/>
      <c r="CK55" s="1827"/>
      <c r="CL55" s="1827"/>
      <c r="CM55" s="1827"/>
      <c r="CN55" s="1827"/>
      <c r="CO55" s="1827"/>
      <c r="CP55" s="1827"/>
      <c r="CQ55" s="1827"/>
      <c r="CR55" s="1827"/>
      <c r="CS55" s="1827"/>
      <c r="CT55" s="1827"/>
      <c r="CU55" s="1827"/>
      <c r="CV55" s="1827"/>
      <c r="CW55" s="1827"/>
      <c r="CX55" s="1827"/>
      <c r="CY55" s="1827"/>
      <c r="CZ55" s="1827"/>
      <c r="DA55" s="1827"/>
      <c r="DB55" s="1827"/>
      <c r="DC55" s="1827"/>
      <c r="DD55" s="1827"/>
      <c r="DE55" s="1827"/>
      <c r="DF55" s="1827"/>
      <c r="DG55" s="1827"/>
      <c r="DH55" s="1827"/>
      <c r="DI55" s="1827"/>
      <c r="DJ55" s="1827"/>
      <c r="DK55" s="1827"/>
      <c r="DL55" s="1827"/>
      <c r="DM55" s="1827"/>
      <c r="DN55" s="1827"/>
      <c r="DO55" s="1827"/>
      <c r="DP55" s="1827"/>
      <c r="DQ55" s="1827"/>
      <c r="DR55" s="1827"/>
      <c r="DS55" s="1827"/>
      <c r="DT55" s="1827"/>
      <c r="DU55" s="1827"/>
      <c r="DV55" s="1827"/>
      <c r="DW55" s="1827"/>
      <c r="DX55" s="1827"/>
      <c r="DY55" s="1827"/>
      <c r="DZ55" s="1827"/>
      <c r="EA55" s="1827"/>
      <c r="EB55" s="1827"/>
      <c r="EC55" s="1827"/>
      <c r="ED55" s="1827"/>
      <c r="EE55" s="1827"/>
      <c r="EF55" s="1827"/>
      <c r="EG55" s="1827"/>
      <c r="EH55" s="1827"/>
      <c r="EI55" s="1827"/>
      <c r="EJ55" s="1827"/>
      <c r="EK55" s="1827"/>
      <c r="EL55" s="1827"/>
      <c r="EM55" s="1827"/>
      <c r="EN55" s="1827"/>
      <c r="EO55" s="1827"/>
      <c r="EP55" s="1827"/>
      <c r="EQ55" s="1827"/>
      <c r="ER55" s="1827"/>
      <c r="ES55" s="1827"/>
      <c r="ET55" s="1827"/>
      <c r="EU55" s="1827"/>
      <c r="EV55" s="1827"/>
      <c r="EW55" s="1827"/>
      <c r="EX55" s="1827"/>
      <c r="EY55" s="1827"/>
      <c r="EZ55" s="1827"/>
      <c r="FA55" s="1827"/>
      <c r="FB55" s="1827"/>
      <c r="FC55" s="1827"/>
      <c r="FD55" s="1827"/>
      <c r="FE55" s="1827"/>
      <c r="FF55" s="1827"/>
      <c r="FG55" s="1827"/>
      <c r="FH55" s="1827"/>
      <c r="FI55" s="1827"/>
      <c r="FJ55" s="1827"/>
      <c r="FK55" s="1827"/>
      <c r="FL55" s="1827"/>
      <c r="FM55" s="1827"/>
      <c r="FN55" s="1827"/>
      <c r="FO55" s="1827"/>
      <c r="FP55" s="1827"/>
      <c r="FQ55" s="1827"/>
      <c r="FR55" s="1827"/>
      <c r="FS55" s="1827"/>
      <c r="FT55" s="1827"/>
      <c r="FU55" s="1827"/>
      <c r="FV55" s="1827"/>
      <c r="FW55" s="1827"/>
      <c r="FX55" s="1827"/>
      <c r="FY55" s="1827"/>
      <c r="FZ55" s="1827"/>
      <c r="GA55" s="1827"/>
      <c r="GB55" s="1827"/>
      <c r="GC55" s="1827"/>
      <c r="GD55" s="1827"/>
      <c r="GE55" s="1827"/>
      <c r="GF55" s="1827"/>
      <c r="GG55" s="1827"/>
      <c r="GH55" s="1827"/>
      <c r="GI55" s="1827"/>
      <c r="GJ55" s="1827"/>
      <c r="GK55" s="1827"/>
      <c r="GL55" s="1827"/>
      <c r="GM55" s="1827"/>
      <c r="GN55" s="1827"/>
      <c r="GO55" s="1827"/>
      <c r="GP55" s="1827"/>
      <c r="GQ55" s="1827"/>
      <c r="GR55" s="1827"/>
      <c r="GS55" s="1827"/>
      <c r="GT55" s="1827"/>
      <c r="GU55" s="1827"/>
      <c r="GV55" s="1827"/>
      <c r="GW55" s="1827"/>
      <c r="GX55" s="1827"/>
      <c r="GY55" s="1827"/>
      <c r="GZ55" s="1827"/>
      <c r="HA55" s="1827"/>
      <c r="HB55" s="1827"/>
      <c r="HC55" s="1827"/>
      <c r="HD55" s="1827"/>
      <c r="HE55" s="1827"/>
      <c r="HF55" s="1827"/>
      <c r="HG55" s="1827"/>
      <c r="HH55" s="1827"/>
      <c r="HI55" s="1827"/>
      <c r="HJ55" s="1827"/>
      <c r="HK55" s="1827"/>
      <c r="HL55" s="1827"/>
      <c r="HM55" s="1827"/>
      <c r="HN55" s="1827"/>
      <c r="HO55" s="1827"/>
      <c r="HP55" s="1827"/>
      <c r="HQ55" s="1827"/>
      <c r="HR55" s="1827"/>
      <c r="HS55" s="1827"/>
      <c r="HT55" s="1827"/>
      <c r="HU55" s="1827"/>
      <c r="HV55" s="1827"/>
      <c r="HW55" s="1827"/>
      <c r="HX55" s="1827"/>
      <c r="HY55" s="1827"/>
      <c r="HZ55" s="1827"/>
      <c r="IA55" s="1827"/>
      <c r="IB55" s="1827"/>
      <c r="IC55" s="1827"/>
      <c r="ID55" s="1827"/>
      <c r="IE55" s="1827"/>
      <c r="IF55" s="1827"/>
      <c r="IG55" s="1827"/>
      <c r="IH55" s="1827"/>
      <c r="II55" s="1827"/>
      <c r="IJ55" s="1827"/>
      <c r="IK55" s="1827"/>
      <c r="IL55" s="1827"/>
      <c r="IM55" s="1827"/>
      <c r="IN55" s="1827"/>
      <c r="IO55" s="1827"/>
      <c r="IP55" s="1827"/>
      <c r="IQ55" s="1827"/>
      <c r="IR55" s="1827"/>
      <c r="IS55" s="1827"/>
      <c r="IT55" s="1827"/>
      <c r="IU55" s="1827"/>
      <c r="IV55" s="1827"/>
    </row>
    <row r="56" spans="1:256">
      <c r="A56" s="1831">
        <f t="shared" si="9"/>
        <v>36</v>
      </c>
      <c r="B56" s="1828" t="s">
        <v>330</v>
      </c>
      <c r="C56" s="1149">
        <f t="shared" si="10"/>
        <v>0</v>
      </c>
      <c r="D56" s="1149">
        <f t="shared" si="11"/>
        <v>0</v>
      </c>
      <c r="E56" s="1828">
        <v>31</v>
      </c>
      <c r="F56" s="964">
        <f>F55-E56</f>
        <v>1</v>
      </c>
      <c r="G56" s="1839">
        <f t="shared" si="6"/>
        <v>2.7397260273972603E-3</v>
      </c>
      <c r="H56" s="1149">
        <f t="shared" si="7"/>
        <v>0</v>
      </c>
      <c r="I56" s="1149">
        <f t="shared" si="8"/>
        <v>0</v>
      </c>
      <c r="J56" s="1827"/>
      <c r="K56" s="1827"/>
      <c r="L56" s="1827"/>
      <c r="M56" s="1827"/>
      <c r="N56" s="1827"/>
      <c r="O56" s="1827"/>
      <c r="P56" s="1827"/>
      <c r="Q56" s="1827"/>
      <c r="R56" s="1827"/>
      <c r="S56" s="1827"/>
      <c r="T56" s="1827"/>
      <c r="U56" s="1827"/>
      <c r="V56" s="1827"/>
      <c r="W56" s="1827"/>
      <c r="X56" s="1827"/>
      <c r="Y56" s="1827"/>
      <c r="Z56" s="1827"/>
      <c r="AA56" s="1827"/>
      <c r="AB56" s="1827"/>
      <c r="AC56" s="1827"/>
      <c r="AD56" s="1827"/>
      <c r="AE56" s="1827"/>
      <c r="AF56" s="1827"/>
      <c r="AG56" s="1827"/>
      <c r="AH56" s="1827"/>
      <c r="AI56" s="1827"/>
      <c r="AJ56" s="1827"/>
      <c r="AK56" s="1827"/>
      <c r="AL56" s="1827"/>
      <c r="AM56" s="1827"/>
      <c r="AN56" s="1827"/>
      <c r="AO56" s="1827"/>
      <c r="AP56" s="1827"/>
      <c r="AQ56" s="1827"/>
      <c r="AR56" s="1827"/>
      <c r="AS56" s="1827"/>
      <c r="AT56" s="1827"/>
      <c r="AU56" s="1827"/>
      <c r="AV56" s="1827"/>
      <c r="AW56" s="1827"/>
      <c r="AX56" s="1827"/>
      <c r="AY56" s="1827"/>
      <c r="AZ56" s="1827"/>
      <c r="BA56" s="1827"/>
      <c r="BB56" s="1827"/>
      <c r="BC56" s="1827"/>
      <c r="BD56" s="1827"/>
      <c r="BE56" s="1827"/>
      <c r="BF56" s="1827"/>
      <c r="BG56" s="1827"/>
      <c r="BH56" s="1827"/>
      <c r="BI56" s="1827"/>
      <c r="BJ56" s="1827"/>
      <c r="BK56" s="1827"/>
      <c r="BL56" s="1827"/>
      <c r="BM56" s="1827"/>
      <c r="BN56" s="1827"/>
      <c r="BO56" s="1827"/>
      <c r="BP56" s="1827"/>
      <c r="BQ56" s="1827"/>
      <c r="BR56" s="1827"/>
      <c r="BS56" s="1827"/>
      <c r="BT56" s="1827"/>
      <c r="BU56" s="1827"/>
      <c r="BV56" s="1827"/>
      <c r="BW56" s="1827"/>
      <c r="BX56" s="1827"/>
      <c r="BY56" s="1827"/>
      <c r="BZ56" s="1827"/>
      <c r="CA56" s="1827"/>
      <c r="CB56" s="1827"/>
      <c r="CC56" s="1827"/>
      <c r="CD56" s="1827"/>
      <c r="CE56" s="1827"/>
      <c r="CF56" s="1827"/>
      <c r="CG56" s="1827"/>
      <c r="CH56" s="1827"/>
      <c r="CI56" s="1827"/>
      <c r="CJ56" s="1827"/>
      <c r="CK56" s="1827"/>
      <c r="CL56" s="1827"/>
      <c r="CM56" s="1827"/>
      <c r="CN56" s="1827"/>
      <c r="CO56" s="1827"/>
      <c r="CP56" s="1827"/>
      <c r="CQ56" s="1827"/>
      <c r="CR56" s="1827"/>
      <c r="CS56" s="1827"/>
      <c r="CT56" s="1827"/>
      <c r="CU56" s="1827"/>
      <c r="CV56" s="1827"/>
      <c r="CW56" s="1827"/>
      <c r="CX56" s="1827"/>
      <c r="CY56" s="1827"/>
      <c r="CZ56" s="1827"/>
      <c r="DA56" s="1827"/>
      <c r="DB56" s="1827"/>
      <c r="DC56" s="1827"/>
      <c r="DD56" s="1827"/>
      <c r="DE56" s="1827"/>
      <c r="DF56" s="1827"/>
      <c r="DG56" s="1827"/>
      <c r="DH56" s="1827"/>
      <c r="DI56" s="1827"/>
      <c r="DJ56" s="1827"/>
      <c r="DK56" s="1827"/>
      <c r="DL56" s="1827"/>
      <c r="DM56" s="1827"/>
      <c r="DN56" s="1827"/>
      <c r="DO56" s="1827"/>
      <c r="DP56" s="1827"/>
      <c r="DQ56" s="1827"/>
      <c r="DR56" s="1827"/>
      <c r="DS56" s="1827"/>
      <c r="DT56" s="1827"/>
      <c r="DU56" s="1827"/>
      <c r="DV56" s="1827"/>
      <c r="DW56" s="1827"/>
      <c r="DX56" s="1827"/>
      <c r="DY56" s="1827"/>
      <c r="DZ56" s="1827"/>
      <c r="EA56" s="1827"/>
      <c r="EB56" s="1827"/>
      <c r="EC56" s="1827"/>
      <c r="ED56" s="1827"/>
      <c r="EE56" s="1827"/>
      <c r="EF56" s="1827"/>
      <c r="EG56" s="1827"/>
      <c r="EH56" s="1827"/>
      <c r="EI56" s="1827"/>
      <c r="EJ56" s="1827"/>
      <c r="EK56" s="1827"/>
      <c r="EL56" s="1827"/>
      <c r="EM56" s="1827"/>
      <c r="EN56" s="1827"/>
      <c r="EO56" s="1827"/>
      <c r="EP56" s="1827"/>
      <c r="EQ56" s="1827"/>
      <c r="ER56" s="1827"/>
      <c r="ES56" s="1827"/>
      <c r="ET56" s="1827"/>
      <c r="EU56" s="1827"/>
      <c r="EV56" s="1827"/>
      <c r="EW56" s="1827"/>
      <c r="EX56" s="1827"/>
      <c r="EY56" s="1827"/>
      <c r="EZ56" s="1827"/>
      <c r="FA56" s="1827"/>
      <c r="FB56" s="1827"/>
      <c r="FC56" s="1827"/>
      <c r="FD56" s="1827"/>
      <c r="FE56" s="1827"/>
      <c r="FF56" s="1827"/>
      <c r="FG56" s="1827"/>
      <c r="FH56" s="1827"/>
      <c r="FI56" s="1827"/>
      <c r="FJ56" s="1827"/>
      <c r="FK56" s="1827"/>
      <c r="FL56" s="1827"/>
      <c r="FM56" s="1827"/>
      <c r="FN56" s="1827"/>
      <c r="FO56" s="1827"/>
      <c r="FP56" s="1827"/>
      <c r="FQ56" s="1827"/>
      <c r="FR56" s="1827"/>
      <c r="FS56" s="1827"/>
      <c r="FT56" s="1827"/>
      <c r="FU56" s="1827"/>
      <c r="FV56" s="1827"/>
      <c r="FW56" s="1827"/>
      <c r="FX56" s="1827"/>
      <c r="FY56" s="1827"/>
      <c r="FZ56" s="1827"/>
      <c r="GA56" s="1827"/>
      <c r="GB56" s="1827"/>
      <c r="GC56" s="1827"/>
      <c r="GD56" s="1827"/>
      <c r="GE56" s="1827"/>
      <c r="GF56" s="1827"/>
      <c r="GG56" s="1827"/>
      <c r="GH56" s="1827"/>
      <c r="GI56" s="1827"/>
      <c r="GJ56" s="1827"/>
      <c r="GK56" s="1827"/>
      <c r="GL56" s="1827"/>
      <c r="GM56" s="1827"/>
      <c r="GN56" s="1827"/>
      <c r="GO56" s="1827"/>
      <c r="GP56" s="1827"/>
      <c r="GQ56" s="1827"/>
      <c r="GR56" s="1827"/>
      <c r="GS56" s="1827"/>
      <c r="GT56" s="1827"/>
      <c r="GU56" s="1827"/>
      <c r="GV56" s="1827"/>
      <c r="GW56" s="1827"/>
      <c r="GX56" s="1827"/>
      <c r="GY56" s="1827"/>
      <c r="GZ56" s="1827"/>
      <c r="HA56" s="1827"/>
      <c r="HB56" s="1827"/>
      <c r="HC56" s="1827"/>
      <c r="HD56" s="1827"/>
      <c r="HE56" s="1827"/>
      <c r="HF56" s="1827"/>
      <c r="HG56" s="1827"/>
      <c r="HH56" s="1827"/>
      <c r="HI56" s="1827"/>
      <c r="HJ56" s="1827"/>
      <c r="HK56" s="1827"/>
      <c r="HL56" s="1827"/>
      <c r="HM56" s="1827"/>
      <c r="HN56" s="1827"/>
      <c r="HO56" s="1827"/>
      <c r="HP56" s="1827"/>
      <c r="HQ56" s="1827"/>
      <c r="HR56" s="1827"/>
      <c r="HS56" s="1827"/>
      <c r="HT56" s="1827"/>
      <c r="HU56" s="1827"/>
      <c r="HV56" s="1827"/>
      <c r="HW56" s="1827"/>
      <c r="HX56" s="1827"/>
      <c r="HY56" s="1827"/>
      <c r="HZ56" s="1827"/>
      <c r="IA56" s="1827"/>
      <c r="IB56" s="1827"/>
      <c r="IC56" s="1827"/>
      <c r="ID56" s="1827"/>
      <c r="IE56" s="1827"/>
      <c r="IF56" s="1827"/>
      <c r="IG56" s="1827"/>
      <c r="IH56" s="1827"/>
      <c r="II56" s="1827"/>
      <c r="IJ56" s="1827"/>
      <c r="IK56" s="1827"/>
      <c r="IL56" s="1827"/>
      <c r="IM56" s="1827"/>
      <c r="IN56" s="1827"/>
      <c r="IO56" s="1827"/>
      <c r="IP56" s="1827"/>
      <c r="IQ56" s="1827"/>
      <c r="IR56" s="1827"/>
      <c r="IS56" s="1827"/>
      <c r="IT56" s="1827"/>
      <c r="IU56" s="1827"/>
      <c r="IV56" s="1827"/>
    </row>
    <row r="57" spans="1:256">
      <c r="A57" s="1831"/>
      <c r="B57" s="1828"/>
      <c r="C57" s="1840"/>
      <c r="D57" s="1840"/>
      <c r="E57" s="1828"/>
      <c r="F57" s="1828"/>
      <c r="G57" s="1828"/>
      <c r="H57" s="1840"/>
      <c r="I57" s="1840"/>
      <c r="J57" s="1827"/>
      <c r="K57" s="1827"/>
      <c r="L57" s="1827"/>
      <c r="M57" s="1827"/>
      <c r="N57" s="1827"/>
      <c r="O57" s="1827"/>
      <c r="P57" s="1827"/>
      <c r="Q57" s="1827"/>
      <c r="R57" s="1827"/>
      <c r="S57" s="1827"/>
      <c r="T57" s="1827"/>
      <c r="U57" s="1827"/>
      <c r="V57" s="1827"/>
      <c r="W57" s="1827"/>
      <c r="X57" s="1827"/>
      <c r="Y57" s="1827"/>
      <c r="Z57" s="1827"/>
      <c r="AA57" s="1827"/>
      <c r="AB57" s="1827"/>
      <c r="AC57" s="1827"/>
      <c r="AD57" s="1827"/>
      <c r="AE57" s="1827"/>
      <c r="AF57" s="1827"/>
      <c r="AG57" s="1827"/>
      <c r="AH57" s="1827"/>
      <c r="AI57" s="1827"/>
      <c r="AJ57" s="1827"/>
      <c r="AK57" s="1827"/>
      <c r="AL57" s="1827"/>
      <c r="AM57" s="1827"/>
      <c r="AN57" s="1827"/>
      <c r="AO57" s="1827"/>
      <c r="AP57" s="1827"/>
      <c r="AQ57" s="1827"/>
      <c r="AR57" s="1827"/>
      <c r="AS57" s="1827"/>
      <c r="AT57" s="1827"/>
      <c r="AU57" s="1827"/>
      <c r="AV57" s="1827"/>
      <c r="AW57" s="1827"/>
      <c r="AX57" s="1827"/>
      <c r="AY57" s="1827"/>
      <c r="AZ57" s="1827"/>
      <c r="BA57" s="1827"/>
      <c r="BB57" s="1827"/>
      <c r="BC57" s="1827"/>
      <c r="BD57" s="1827"/>
      <c r="BE57" s="1827"/>
      <c r="BF57" s="1827"/>
      <c r="BG57" s="1827"/>
      <c r="BH57" s="1827"/>
      <c r="BI57" s="1827"/>
      <c r="BJ57" s="1827"/>
      <c r="BK57" s="1827"/>
      <c r="BL57" s="1827"/>
      <c r="BM57" s="1827"/>
      <c r="BN57" s="1827"/>
      <c r="BO57" s="1827"/>
      <c r="BP57" s="1827"/>
      <c r="BQ57" s="1827"/>
      <c r="BR57" s="1827"/>
      <c r="BS57" s="1827"/>
      <c r="BT57" s="1827"/>
      <c r="BU57" s="1827"/>
      <c r="BV57" s="1827"/>
      <c r="BW57" s="1827"/>
      <c r="BX57" s="1827"/>
      <c r="BY57" s="1827"/>
      <c r="BZ57" s="1827"/>
      <c r="CA57" s="1827"/>
      <c r="CB57" s="1827"/>
      <c r="CC57" s="1827"/>
      <c r="CD57" s="1827"/>
      <c r="CE57" s="1827"/>
      <c r="CF57" s="1827"/>
      <c r="CG57" s="1827"/>
      <c r="CH57" s="1827"/>
      <c r="CI57" s="1827"/>
      <c r="CJ57" s="1827"/>
      <c r="CK57" s="1827"/>
      <c r="CL57" s="1827"/>
      <c r="CM57" s="1827"/>
      <c r="CN57" s="1827"/>
      <c r="CO57" s="1827"/>
      <c r="CP57" s="1827"/>
      <c r="CQ57" s="1827"/>
      <c r="CR57" s="1827"/>
      <c r="CS57" s="1827"/>
      <c r="CT57" s="1827"/>
      <c r="CU57" s="1827"/>
      <c r="CV57" s="1827"/>
      <c r="CW57" s="1827"/>
      <c r="CX57" s="1827"/>
      <c r="CY57" s="1827"/>
      <c r="CZ57" s="1827"/>
      <c r="DA57" s="1827"/>
      <c r="DB57" s="1827"/>
      <c r="DC57" s="1827"/>
      <c r="DD57" s="1827"/>
      <c r="DE57" s="1827"/>
      <c r="DF57" s="1827"/>
      <c r="DG57" s="1827"/>
      <c r="DH57" s="1827"/>
      <c r="DI57" s="1827"/>
      <c r="DJ57" s="1827"/>
      <c r="DK57" s="1827"/>
      <c r="DL57" s="1827"/>
      <c r="DM57" s="1827"/>
      <c r="DN57" s="1827"/>
      <c r="DO57" s="1827"/>
      <c r="DP57" s="1827"/>
      <c r="DQ57" s="1827"/>
      <c r="DR57" s="1827"/>
      <c r="DS57" s="1827"/>
      <c r="DT57" s="1827"/>
      <c r="DU57" s="1827"/>
      <c r="DV57" s="1827"/>
      <c r="DW57" s="1827"/>
      <c r="DX57" s="1827"/>
      <c r="DY57" s="1827"/>
      <c r="DZ57" s="1827"/>
      <c r="EA57" s="1827"/>
      <c r="EB57" s="1827"/>
      <c r="EC57" s="1827"/>
      <c r="ED57" s="1827"/>
      <c r="EE57" s="1827"/>
      <c r="EF57" s="1827"/>
      <c r="EG57" s="1827"/>
      <c r="EH57" s="1827"/>
      <c r="EI57" s="1827"/>
      <c r="EJ57" s="1827"/>
      <c r="EK57" s="1827"/>
      <c r="EL57" s="1827"/>
      <c r="EM57" s="1827"/>
      <c r="EN57" s="1827"/>
      <c r="EO57" s="1827"/>
      <c r="EP57" s="1827"/>
      <c r="EQ57" s="1827"/>
      <c r="ER57" s="1827"/>
      <c r="ES57" s="1827"/>
      <c r="ET57" s="1827"/>
      <c r="EU57" s="1827"/>
      <c r="EV57" s="1827"/>
      <c r="EW57" s="1827"/>
      <c r="EX57" s="1827"/>
      <c r="EY57" s="1827"/>
      <c r="EZ57" s="1827"/>
      <c r="FA57" s="1827"/>
      <c r="FB57" s="1827"/>
      <c r="FC57" s="1827"/>
      <c r="FD57" s="1827"/>
      <c r="FE57" s="1827"/>
      <c r="FF57" s="1827"/>
      <c r="FG57" s="1827"/>
      <c r="FH57" s="1827"/>
      <c r="FI57" s="1827"/>
      <c r="FJ57" s="1827"/>
      <c r="FK57" s="1827"/>
      <c r="FL57" s="1827"/>
      <c r="FM57" s="1827"/>
      <c r="FN57" s="1827"/>
      <c r="FO57" s="1827"/>
      <c r="FP57" s="1827"/>
      <c r="FQ57" s="1827"/>
      <c r="FR57" s="1827"/>
      <c r="FS57" s="1827"/>
      <c r="FT57" s="1827"/>
      <c r="FU57" s="1827"/>
      <c r="FV57" s="1827"/>
      <c r="FW57" s="1827"/>
      <c r="FX57" s="1827"/>
      <c r="FY57" s="1827"/>
      <c r="FZ57" s="1827"/>
      <c r="GA57" s="1827"/>
      <c r="GB57" s="1827"/>
      <c r="GC57" s="1827"/>
      <c r="GD57" s="1827"/>
      <c r="GE57" s="1827"/>
      <c r="GF57" s="1827"/>
      <c r="GG57" s="1827"/>
      <c r="GH57" s="1827"/>
      <c r="GI57" s="1827"/>
      <c r="GJ57" s="1827"/>
      <c r="GK57" s="1827"/>
      <c r="GL57" s="1827"/>
      <c r="GM57" s="1827"/>
      <c r="GN57" s="1827"/>
      <c r="GO57" s="1827"/>
      <c r="GP57" s="1827"/>
      <c r="GQ57" s="1827"/>
      <c r="GR57" s="1827"/>
      <c r="GS57" s="1827"/>
      <c r="GT57" s="1827"/>
      <c r="GU57" s="1827"/>
      <c r="GV57" s="1827"/>
      <c r="GW57" s="1827"/>
      <c r="GX57" s="1827"/>
      <c r="GY57" s="1827"/>
      <c r="GZ57" s="1827"/>
      <c r="HA57" s="1827"/>
      <c r="HB57" s="1827"/>
      <c r="HC57" s="1827"/>
      <c r="HD57" s="1827"/>
      <c r="HE57" s="1827"/>
      <c r="HF57" s="1827"/>
      <c r="HG57" s="1827"/>
      <c r="HH57" s="1827"/>
      <c r="HI57" s="1827"/>
      <c r="HJ57" s="1827"/>
      <c r="HK57" s="1827"/>
      <c r="HL57" s="1827"/>
      <c r="HM57" s="1827"/>
      <c r="HN57" s="1827"/>
      <c r="HO57" s="1827"/>
      <c r="HP57" s="1827"/>
      <c r="HQ57" s="1827"/>
      <c r="HR57" s="1827"/>
      <c r="HS57" s="1827"/>
      <c r="HT57" s="1827"/>
      <c r="HU57" s="1827"/>
      <c r="HV57" s="1827"/>
      <c r="HW57" s="1827"/>
      <c r="HX57" s="1827"/>
      <c r="HY57" s="1827"/>
      <c r="HZ57" s="1827"/>
      <c r="IA57" s="1827"/>
      <c r="IB57" s="1827"/>
      <c r="IC57" s="1827"/>
      <c r="ID57" s="1827"/>
      <c r="IE57" s="1827"/>
      <c r="IF57" s="1827"/>
      <c r="IG57" s="1827"/>
      <c r="IH57" s="1827"/>
      <c r="II57" s="1827"/>
      <c r="IJ57" s="1827"/>
      <c r="IK57" s="1827"/>
      <c r="IL57" s="1827"/>
      <c r="IM57" s="1827"/>
      <c r="IN57" s="1827"/>
      <c r="IO57" s="1827"/>
      <c r="IP57" s="1827"/>
      <c r="IQ57" s="1827"/>
      <c r="IR57" s="1827"/>
      <c r="IS57" s="1827"/>
      <c r="IT57" s="1827"/>
      <c r="IU57" s="1827"/>
      <c r="IV57" s="1827"/>
    </row>
    <row r="58" spans="1:256">
      <c r="A58" s="1831">
        <f>+A56+1</f>
        <v>37</v>
      </c>
      <c r="B58" s="1828" t="s">
        <v>520</v>
      </c>
      <c r="C58" s="1840"/>
      <c r="D58" s="1149">
        <f>+D56</f>
        <v>0</v>
      </c>
      <c r="E58" s="1828"/>
      <c r="F58" s="1828"/>
      <c r="G58" s="1828"/>
      <c r="H58" s="1840"/>
      <c r="I58" s="1149">
        <f>+I56</f>
        <v>0</v>
      </c>
      <c r="J58" s="1827"/>
      <c r="K58" s="1827"/>
      <c r="L58" s="1827"/>
      <c r="M58" s="1827"/>
      <c r="N58" s="1827"/>
      <c r="O58" s="1827"/>
      <c r="P58" s="1827"/>
      <c r="Q58" s="1827"/>
      <c r="R58" s="1827"/>
      <c r="S58" s="1827"/>
      <c r="T58" s="1827"/>
      <c r="U58" s="1827"/>
      <c r="V58" s="1827"/>
      <c r="W58" s="1827"/>
      <c r="X58" s="1827"/>
      <c r="Y58" s="1827"/>
      <c r="Z58" s="1827"/>
      <c r="AA58" s="1827"/>
      <c r="AB58" s="1827"/>
      <c r="AC58" s="1827"/>
      <c r="AD58" s="1827"/>
      <c r="AE58" s="1827"/>
      <c r="AF58" s="1827"/>
      <c r="AG58" s="1827"/>
      <c r="AH58" s="1827"/>
      <c r="AI58" s="1827"/>
      <c r="AJ58" s="1827"/>
      <c r="AK58" s="1827"/>
      <c r="AL58" s="1827"/>
      <c r="AM58" s="1827"/>
      <c r="AN58" s="1827"/>
      <c r="AO58" s="1827"/>
      <c r="AP58" s="1827"/>
      <c r="AQ58" s="1827"/>
      <c r="AR58" s="1827"/>
      <c r="AS58" s="1827"/>
      <c r="AT58" s="1827"/>
      <c r="AU58" s="1827"/>
      <c r="AV58" s="1827"/>
      <c r="AW58" s="1827"/>
      <c r="AX58" s="1827"/>
      <c r="AY58" s="1827"/>
      <c r="AZ58" s="1827"/>
      <c r="BA58" s="1827"/>
      <c r="BB58" s="1827"/>
      <c r="BC58" s="1827"/>
      <c r="BD58" s="1827"/>
      <c r="BE58" s="1827"/>
      <c r="BF58" s="1827"/>
      <c r="BG58" s="1827"/>
      <c r="BH58" s="1827"/>
      <c r="BI58" s="1827"/>
      <c r="BJ58" s="1827"/>
      <c r="BK58" s="1827"/>
      <c r="BL58" s="1827"/>
      <c r="BM58" s="1827"/>
      <c r="BN58" s="1827"/>
      <c r="BO58" s="1827"/>
      <c r="BP58" s="1827"/>
      <c r="BQ58" s="1827"/>
      <c r="BR58" s="1827"/>
      <c r="BS58" s="1827"/>
      <c r="BT58" s="1827"/>
      <c r="BU58" s="1827"/>
      <c r="BV58" s="1827"/>
      <c r="BW58" s="1827"/>
      <c r="BX58" s="1827"/>
      <c r="BY58" s="1827"/>
      <c r="BZ58" s="1827"/>
      <c r="CA58" s="1827"/>
      <c r="CB58" s="1827"/>
      <c r="CC58" s="1827"/>
      <c r="CD58" s="1827"/>
      <c r="CE58" s="1827"/>
      <c r="CF58" s="1827"/>
      <c r="CG58" s="1827"/>
      <c r="CH58" s="1827"/>
      <c r="CI58" s="1827"/>
      <c r="CJ58" s="1827"/>
      <c r="CK58" s="1827"/>
      <c r="CL58" s="1827"/>
      <c r="CM58" s="1827"/>
      <c r="CN58" s="1827"/>
      <c r="CO58" s="1827"/>
      <c r="CP58" s="1827"/>
      <c r="CQ58" s="1827"/>
      <c r="CR58" s="1827"/>
      <c r="CS58" s="1827"/>
      <c r="CT58" s="1827"/>
      <c r="CU58" s="1827"/>
      <c r="CV58" s="1827"/>
      <c r="CW58" s="1827"/>
      <c r="CX58" s="1827"/>
      <c r="CY58" s="1827"/>
      <c r="CZ58" s="1827"/>
      <c r="DA58" s="1827"/>
      <c r="DB58" s="1827"/>
      <c r="DC58" s="1827"/>
      <c r="DD58" s="1827"/>
      <c r="DE58" s="1827"/>
      <c r="DF58" s="1827"/>
      <c r="DG58" s="1827"/>
      <c r="DH58" s="1827"/>
      <c r="DI58" s="1827"/>
      <c r="DJ58" s="1827"/>
      <c r="DK58" s="1827"/>
      <c r="DL58" s="1827"/>
      <c r="DM58" s="1827"/>
      <c r="DN58" s="1827"/>
      <c r="DO58" s="1827"/>
      <c r="DP58" s="1827"/>
      <c r="DQ58" s="1827"/>
      <c r="DR58" s="1827"/>
      <c r="DS58" s="1827"/>
      <c r="DT58" s="1827"/>
      <c r="DU58" s="1827"/>
      <c r="DV58" s="1827"/>
      <c r="DW58" s="1827"/>
      <c r="DX58" s="1827"/>
      <c r="DY58" s="1827"/>
      <c r="DZ58" s="1827"/>
      <c r="EA58" s="1827"/>
      <c r="EB58" s="1827"/>
      <c r="EC58" s="1827"/>
      <c r="ED58" s="1827"/>
      <c r="EE58" s="1827"/>
      <c r="EF58" s="1827"/>
      <c r="EG58" s="1827"/>
      <c r="EH58" s="1827"/>
      <c r="EI58" s="1827"/>
      <c r="EJ58" s="1827"/>
      <c r="EK58" s="1827"/>
      <c r="EL58" s="1827"/>
      <c r="EM58" s="1827"/>
      <c r="EN58" s="1827"/>
      <c r="EO58" s="1827"/>
      <c r="EP58" s="1827"/>
      <c r="EQ58" s="1827"/>
      <c r="ER58" s="1827"/>
      <c r="ES58" s="1827"/>
      <c r="ET58" s="1827"/>
      <c r="EU58" s="1827"/>
      <c r="EV58" s="1827"/>
      <c r="EW58" s="1827"/>
      <c r="EX58" s="1827"/>
      <c r="EY58" s="1827"/>
      <c r="EZ58" s="1827"/>
      <c r="FA58" s="1827"/>
      <c r="FB58" s="1827"/>
      <c r="FC58" s="1827"/>
      <c r="FD58" s="1827"/>
      <c r="FE58" s="1827"/>
      <c r="FF58" s="1827"/>
      <c r="FG58" s="1827"/>
      <c r="FH58" s="1827"/>
      <c r="FI58" s="1827"/>
      <c r="FJ58" s="1827"/>
      <c r="FK58" s="1827"/>
      <c r="FL58" s="1827"/>
      <c r="FM58" s="1827"/>
      <c r="FN58" s="1827"/>
      <c r="FO58" s="1827"/>
      <c r="FP58" s="1827"/>
      <c r="FQ58" s="1827"/>
      <c r="FR58" s="1827"/>
      <c r="FS58" s="1827"/>
      <c r="FT58" s="1827"/>
      <c r="FU58" s="1827"/>
      <c r="FV58" s="1827"/>
      <c r="FW58" s="1827"/>
      <c r="FX58" s="1827"/>
      <c r="FY58" s="1827"/>
      <c r="FZ58" s="1827"/>
      <c r="GA58" s="1827"/>
      <c r="GB58" s="1827"/>
      <c r="GC58" s="1827"/>
      <c r="GD58" s="1827"/>
      <c r="GE58" s="1827"/>
      <c r="GF58" s="1827"/>
      <c r="GG58" s="1827"/>
      <c r="GH58" s="1827"/>
      <c r="GI58" s="1827"/>
      <c r="GJ58" s="1827"/>
      <c r="GK58" s="1827"/>
      <c r="GL58" s="1827"/>
      <c r="GM58" s="1827"/>
      <c r="GN58" s="1827"/>
      <c r="GO58" s="1827"/>
      <c r="GP58" s="1827"/>
      <c r="GQ58" s="1827"/>
      <c r="GR58" s="1827"/>
      <c r="GS58" s="1827"/>
      <c r="GT58" s="1827"/>
      <c r="GU58" s="1827"/>
      <c r="GV58" s="1827"/>
      <c r="GW58" s="1827"/>
      <c r="GX58" s="1827"/>
      <c r="GY58" s="1827"/>
      <c r="GZ58" s="1827"/>
      <c r="HA58" s="1827"/>
      <c r="HB58" s="1827"/>
      <c r="HC58" s="1827"/>
      <c r="HD58" s="1827"/>
      <c r="HE58" s="1827"/>
      <c r="HF58" s="1827"/>
      <c r="HG58" s="1827"/>
      <c r="HH58" s="1827"/>
      <c r="HI58" s="1827"/>
      <c r="HJ58" s="1827"/>
      <c r="HK58" s="1827"/>
      <c r="HL58" s="1827"/>
      <c r="HM58" s="1827"/>
      <c r="HN58" s="1827"/>
      <c r="HO58" s="1827"/>
      <c r="HP58" s="1827"/>
      <c r="HQ58" s="1827"/>
      <c r="HR58" s="1827"/>
      <c r="HS58" s="1827"/>
      <c r="HT58" s="1827"/>
      <c r="HU58" s="1827"/>
      <c r="HV58" s="1827"/>
      <c r="HW58" s="1827"/>
      <c r="HX58" s="1827"/>
      <c r="HY58" s="1827"/>
      <c r="HZ58" s="1827"/>
      <c r="IA58" s="1827"/>
      <c r="IB58" s="1827"/>
      <c r="IC58" s="1827"/>
      <c r="ID58" s="1827"/>
      <c r="IE58" s="1827"/>
      <c r="IF58" s="1827"/>
      <c r="IG58" s="1827"/>
      <c r="IH58" s="1827"/>
      <c r="II58" s="1827"/>
      <c r="IJ58" s="1827"/>
      <c r="IK58" s="1827"/>
      <c r="IL58" s="1827"/>
      <c r="IM58" s="1827"/>
      <c r="IN58" s="1827"/>
      <c r="IO58" s="1827"/>
      <c r="IP58" s="1827"/>
      <c r="IQ58" s="1827"/>
      <c r="IR58" s="1827"/>
      <c r="IS58" s="1827"/>
      <c r="IT58" s="1827"/>
      <c r="IU58" s="1827"/>
      <c r="IV58" s="1827"/>
    </row>
    <row r="59" spans="1:256">
      <c r="A59" s="1831"/>
      <c r="B59" s="1841"/>
      <c r="C59" s="1841"/>
      <c r="D59" s="1841"/>
      <c r="E59" s="1841"/>
      <c r="F59" s="1841"/>
      <c r="G59" s="1841"/>
      <c r="H59" s="1841"/>
      <c r="I59" s="1841"/>
      <c r="J59" s="1827"/>
      <c r="K59" s="1827"/>
      <c r="L59" s="1827"/>
      <c r="M59" s="1827"/>
      <c r="N59" s="1827"/>
      <c r="O59" s="1827"/>
      <c r="P59" s="1827"/>
      <c r="Q59" s="1827"/>
      <c r="R59" s="1827"/>
      <c r="S59" s="1827"/>
      <c r="T59" s="1827"/>
      <c r="U59" s="1827"/>
      <c r="V59" s="1827"/>
      <c r="W59" s="1827"/>
      <c r="X59" s="1827"/>
      <c r="Y59" s="1827"/>
      <c r="Z59" s="1827"/>
      <c r="AA59" s="1827"/>
      <c r="AB59" s="1827"/>
      <c r="AC59" s="1827"/>
      <c r="AD59" s="1827"/>
      <c r="AE59" s="1827"/>
      <c r="AF59" s="1827"/>
      <c r="AG59" s="1827"/>
      <c r="AH59" s="1827"/>
      <c r="AI59" s="1827"/>
      <c r="AJ59" s="1827"/>
      <c r="AK59" s="1827"/>
      <c r="AL59" s="1827"/>
      <c r="AM59" s="1827"/>
      <c r="AN59" s="1827"/>
      <c r="AO59" s="1827"/>
      <c r="AP59" s="1827"/>
      <c r="AQ59" s="1827"/>
      <c r="AR59" s="1827"/>
      <c r="AS59" s="1827"/>
      <c r="AT59" s="1827"/>
      <c r="AU59" s="1827"/>
      <c r="AV59" s="1827"/>
      <c r="AW59" s="1827"/>
      <c r="AX59" s="1827"/>
      <c r="AY59" s="1827"/>
      <c r="AZ59" s="1827"/>
      <c r="BA59" s="1827"/>
      <c r="BB59" s="1827"/>
      <c r="BC59" s="1827"/>
      <c r="BD59" s="1827"/>
      <c r="BE59" s="1827"/>
      <c r="BF59" s="1827"/>
      <c r="BG59" s="1827"/>
      <c r="BH59" s="1827"/>
      <c r="BI59" s="1827"/>
      <c r="BJ59" s="1827"/>
      <c r="BK59" s="1827"/>
      <c r="BL59" s="1827"/>
      <c r="BM59" s="1827"/>
      <c r="BN59" s="1827"/>
      <c r="BO59" s="1827"/>
      <c r="BP59" s="1827"/>
      <c r="BQ59" s="1827"/>
      <c r="BR59" s="1827"/>
      <c r="BS59" s="1827"/>
      <c r="BT59" s="1827"/>
      <c r="BU59" s="1827"/>
      <c r="BV59" s="1827"/>
      <c r="BW59" s="1827"/>
      <c r="BX59" s="1827"/>
      <c r="BY59" s="1827"/>
      <c r="BZ59" s="1827"/>
      <c r="CA59" s="1827"/>
      <c r="CB59" s="1827"/>
      <c r="CC59" s="1827"/>
      <c r="CD59" s="1827"/>
      <c r="CE59" s="1827"/>
      <c r="CF59" s="1827"/>
      <c r="CG59" s="1827"/>
      <c r="CH59" s="1827"/>
      <c r="CI59" s="1827"/>
      <c r="CJ59" s="1827"/>
      <c r="CK59" s="1827"/>
      <c r="CL59" s="1827"/>
      <c r="CM59" s="1827"/>
      <c r="CN59" s="1827"/>
      <c r="CO59" s="1827"/>
      <c r="CP59" s="1827"/>
      <c r="CQ59" s="1827"/>
      <c r="CR59" s="1827"/>
      <c r="CS59" s="1827"/>
      <c r="CT59" s="1827"/>
      <c r="CU59" s="1827"/>
      <c r="CV59" s="1827"/>
      <c r="CW59" s="1827"/>
      <c r="CX59" s="1827"/>
      <c r="CY59" s="1827"/>
      <c r="CZ59" s="1827"/>
      <c r="DA59" s="1827"/>
      <c r="DB59" s="1827"/>
      <c r="DC59" s="1827"/>
      <c r="DD59" s="1827"/>
      <c r="DE59" s="1827"/>
      <c r="DF59" s="1827"/>
      <c r="DG59" s="1827"/>
      <c r="DH59" s="1827"/>
      <c r="DI59" s="1827"/>
      <c r="DJ59" s="1827"/>
      <c r="DK59" s="1827"/>
      <c r="DL59" s="1827"/>
      <c r="DM59" s="1827"/>
      <c r="DN59" s="1827"/>
      <c r="DO59" s="1827"/>
      <c r="DP59" s="1827"/>
      <c r="DQ59" s="1827"/>
      <c r="DR59" s="1827"/>
      <c r="DS59" s="1827"/>
      <c r="DT59" s="1827"/>
      <c r="DU59" s="1827"/>
      <c r="DV59" s="1827"/>
      <c r="DW59" s="1827"/>
      <c r="DX59" s="1827"/>
      <c r="DY59" s="1827"/>
      <c r="DZ59" s="1827"/>
      <c r="EA59" s="1827"/>
      <c r="EB59" s="1827"/>
      <c r="EC59" s="1827"/>
      <c r="ED59" s="1827"/>
      <c r="EE59" s="1827"/>
      <c r="EF59" s="1827"/>
      <c r="EG59" s="1827"/>
      <c r="EH59" s="1827"/>
      <c r="EI59" s="1827"/>
      <c r="EJ59" s="1827"/>
      <c r="EK59" s="1827"/>
      <c r="EL59" s="1827"/>
      <c r="EM59" s="1827"/>
      <c r="EN59" s="1827"/>
      <c r="EO59" s="1827"/>
      <c r="EP59" s="1827"/>
      <c r="EQ59" s="1827"/>
      <c r="ER59" s="1827"/>
      <c r="ES59" s="1827"/>
      <c r="ET59" s="1827"/>
      <c r="EU59" s="1827"/>
      <c r="EV59" s="1827"/>
      <c r="EW59" s="1827"/>
      <c r="EX59" s="1827"/>
      <c r="EY59" s="1827"/>
      <c r="EZ59" s="1827"/>
      <c r="FA59" s="1827"/>
      <c r="FB59" s="1827"/>
      <c r="FC59" s="1827"/>
      <c r="FD59" s="1827"/>
      <c r="FE59" s="1827"/>
      <c r="FF59" s="1827"/>
      <c r="FG59" s="1827"/>
      <c r="FH59" s="1827"/>
      <c r="FI59" s="1827"/>
      <c r="FJ59" s="1827"/>
      <c r="FK59" s="1827"/>
      <c r="FL59" s="1827"/>
      <c r="FM59" s="1827"/>
      <c r="FN59" s="1827"/>
      <c r="FO59" s="1827"/>
      <c r="FP59" s="1827"/>
      <c r="FQ59" s="1827"/>
      <c r="FR59" s="1827"/>
      <c r="FS59" s="1827"/>
      <c r="FT59" s="1827"/>
      <c r="FU59" s="1827"/>
      <c r="FV59" s="1827"/>
      <c r="FW59" s="1827"/>
      <c r="FX59" s="1827"/>
      <c r="FY59" s="1827"/>
      <c r="FZ59" s="1827"/>
      <c r="GA59" s="1827"/>
      <c r="GB59" s="1827"/>
      <c r="GC59" s="1827"/>
      <c r="GD59" s="1827"/>
      <c r="GE59" s="1827"/>
      <c r="GF59" s="1827"/>
      <c r="GG59" s="1827"/>
      <c r="GH59" s="1827"/>
      <c r="GI59" s="1827"/>
      <c r="GJ59" s="1827"/>
      <c r="GK59" s="1827"/>
      <c r="GL59" s="1827"/>
      <c r="GM59" s="1827"/>
      <c r="GN59" s="1827"/>
      <c r="GO59" s="1827"/>
      <c r="GP59" s="1827"/>
      <c r="GQ59" s="1827"/>
      <c r="GR59" s="1827"/>
      <c r="GS59" s="1827"/>
      <c r="GT59" s="1827"/>
      <c r="GU59" s="1827"/>
      <c r="GV59" s="1827"/>
      <c r="GW59" s="1827"/>
      <c r="GX59" s="1827"/>
      <c r="GY59" s="1827"/>
      <c r="GZ59" s="1827"/>
      <c r="HA59" s="1827"/>
      <c r="HB59" s="1827"/>
      <c r="HC59" s="1827"/>
      <c r="HD59" s="1827"/>
      <c r="HE59" s="1827"/>
      <c r="HF59" s="1827"/>
      <c r="HG59" s="1827"/>
      <c r="HH59" s="1827"/>
      <c r="HI59" s="1827"/>
      <c r="HJ59" s="1827"/>
      <c r="HK59" s="1827"/>
      <c r="HL59" s="1827"/>
      <c r="HM59" s="1827"/>
      <c r="HN59" s="1827"/>
      <c r="HO59" s="1827"/>
      <c r="HP59" s="1827"/>
      <c r="HQ59" s="1827"/>
      <c r="HR59" s="1827"/>
      <c r="HS59" s="1827"/>
      <c r="HT59" s="1827"/>
      <c r="HU59" s="1827"/>
      <c r="HV59" s="1827"/>
      <c r="HW59" s="1827"/>
      <c r="HX59" s="1827"/>
      <c r="HY59" s="1827"/>
      <c r="HZ59" s="1827"/>
      <c r="IA59" s="1827"/>
      <c r="IB59" s="1827"/>
      <c r="IC59" s="1827"/>
      <c r="ID59" s="1827"/>
      <c r="IE59" s="1827"/>
      <c r="IF59" s="1827"/>
      <c r="IG59" s="1827"/>
      <c r="IH59" s="1827"/>
      <c r="II59" s="1827"/>
      <c r="IJ59" s="1827"/>
      <c r="IK59" s="1827"/>
      <c r="IL59" s="1827"/>
      <c r="IM59" s="1827"/>
      <c r="IN59" s="1827"/>
      <c r="IO59" s="1827"/>
      <c r="IP59" s="1827"/>
      <c r="IQ59" s="1827"/>
      <c r="IR59" s="1827"/>
      <c r="IS59" s="1827"/>
      <c r="IT59" s="1827"/>
      <c r="IU59" s="1827"/>
      <c r="IV59" s="1827"/>
    </row>
    <row r="60" spans="1:256" ht="13.5" thickBot="1">
      <c r="A60" s="1831">
        <f>+A58+1</f>
        <v>38</v>
      </c>
      <c r="B60" s="1842" t="str">
        <f>"Proration Adjustment - Line "&amp;A58&amp;" Col. "&amp;I42&amp;" less Col. "&amp;D42</f>
        <v>Proration Adjustment - Line 37 Col. (H) less Col. (C )</v>
      </c>
      <c r="C60" s="1842"/>
      <c r="D60" s="1842"/>
      <c r="E60" s="1842"/>
      <c r="F60" s="1842"/>
      <c r="G60" s="1842"/>
      <c r="H60" s="1842"/>
      <c r="I60" s="1843">
        <f>+I58-D58</f>
        <v>0</v>
      </c>
      <c r="J60" s="1827"/>
      <c r="K60" s="1827"/>
      <c r="L60" s="1827"/>
      <c r="M60" s="1827"/>
      <c r="N60" s="1827"/>
      <c r="O60" s="1827"/>
      <c r="P60" s="1827"/>
      <c r="Q60" s="1827"/>
      <c r="R60" s="1827"/>
      <c r="S60" s="1827"/>
      <c r="T60" s="1827"/>
      <c r="U60" s="1827"/>
      <c r="V60" s="1827"/>
      <c r="W60" s="1827"/>
      <c r="X60" s="1827"/>
      <c r="Y60" s="1827"/>
      <c r="Z60" s="1827"/>
      <c r="AA60" s="1827"/>
      <c r="AB60" s="1827"/>
      <c r="AC60" s="1827"/>
      <c r="AD60" s="1827"/>
      <c r="AE60" s="1827"/>
      <c r="AF60" s="1827"/>
      <c r="AG60" s="1827"/>
      <c r="AH60" s="1827"/>
      <c r="AI60" s="1827"/>
      <c r="AJ60" s="1827"/>
      <c r="AK60" s="1827"/>
      <c r="AL60" s="1827"/>
      <c r="AM60" s="1827"/>
      <c r="AN60" s="1827"/>
      <c r="AO60" s="1827"/>
      <c r="AP60" s="1827"/>
      <c r="AQ60" s="1827"/>
      <c r="AR60" s="1827"/>
      <c r="AS60" s="1827"/>
      <c r="AT60" s="1827"/>
      <c r="AU60" s="1827"/>
      <c r="AV60" s="1827"/>
      <c r="AW60" s="1827"/>
      <c r="AX60" s="1827"/>
      <c r="AY60" s="1827"/>
      <c r="AZ60" s="1827"/>
      <c r="BA60" s="1827"/>
      <c r="BB60" s="1827"/>
      <c r="BC60" s="1827"/>
      <c r="BD60" s="1827"/>
      <c r="BE60" s="1827"/>
      <c r="BF60" s="1827"/>
      <c r="BG60" s="1827"/>
      <c r="BH60" s="1827"/>
      <c r="BI60" s="1827"/>
      <c r="BJ60" s="1827"/>
      <c r="BK60" s="1827"/>
      <c r="BL60" s="1827"/>
      <c r="BM60" s="1827"/>
      <c r="BN60" s="1827"/>
      <c r="BO60" s="1827"/>
      <c r="BP60" s="1827"/>
      <c r="BQ60" s="1827"/>
      <c r="BR60" s="1827"/>
      <c r="BS60" s="1827"/>
      <c r="BT60" s="1827"/>
      <c r="BU60" s="1827"/>
      <c r="BV60" s="1827"/>
      <c r="BW60" s="1827"/>
      <c r="BX60" s="1827"/>
      <c r="BY60" s="1827"/>
      <c r="BZ60" s="1827"/>
      <c r="CA60" s="1827"/>
      <c r="CB60" s="1827"/>
      <c r="CC60" s="1827"/>
      <c r="CD60" s="1827"/>
      <c r="CE60" s="1827"/>
      <c r="CF60" s="1827"/>
      <c r="CG60" s="1827"/>
      <c r="CH60" s="1827"/>
      <c r="CI60" s="1827"/>
      <c r="CJ60" s="1827"/>
      <c r="CK60" s="1827"/>
      <c r="CL60" s="1827"/>
      <c r="CM60" s="1827"/>
      <c r="CN60" s="1827"/>
      <c r="CO60" s="1827"/>
      <c r="CP60" s="1827"/>
      <c r="CQ60" s="1827"/>
      <c r="CR60" s="1827"/>
      <c r="CS60" s="1827"/>
      <c r="CT60" s="1827"/>
      <c r="CU60" s="1827"/>
      <c r="CV60" s="1827"/>
      <c r="CW60" s="1827"/>
      <c r="CX60" s="1827"/>
      <c r="CY60" s="1827"/>
      <c r="CZ60" s="1827"/>
      <c r="DA60" s="1827"/>
      <c r="DB60" s="1827"/>
      <c r="DC60" s="1827"/>
      <c r="DD60" s="1827"/>
      <c r="DE60" s="1827"/>
      <c r="DF60" s="1827"/>
      <c r="DG60" s="1827"/>
      <c r="DH60" s="1827"/>
      <c r="DI60" s="1827"/>
      <c r="DJ60" s="1827"/>
      <c r="DK60" s="1827"/>
      <c r="DL60" s="1827"/>
      <c r="DM60" s="1827"/>
      <c r="DN60" s="1827"/>
      <c r="DO60" s="1827"/>
      <c r="DP60" s="1827"/>
      <c r="DQ60" s="1827"/>
      <c r="DR60" s="1827"/>
      <c r="DS60" s="1827"/>
      <c r="DT60" s="1827"/>
      <c r="DU60" s="1827"/>
      <c r="DV60" s="1827"/>
      <c r="DW60" s="1827"/>
      <c r="DX60" s="1827"/>
      <c r="DY60" s="1827"/>
      <c r="DZ60" s="1827"/>
      <c r="EA60" s="1827"/>
      <c r="EB60" s="1827"/>
      <c r="EC60" s="1827"/>
      <c r="ED60" s="1827"/>
      <c r="EE60" s="1827"/>
      <c r="EF60" s="1827"/>
      <c r="EG60" s="1827"/>
      <c r="EH60" s="1827"/>
      <c r="EI60" s="1827"/>
      <c r="EJ60" s="1827"/>
      <c r="EK60" s="1827"/>
      <c r="EL60" s="1827"/>
      <c r="EM60" s="1827"/>
      <c r="EN60" s="1827"/>
      <c r="EO60" s="1827"/>
      <c r="EP60" s="1827"/>
      <c r="EQ60" s="1827"/>
      <c r="ER60" s="1827"/>
      <c r="ES60" s="1827"/>
      <c r="ET60" s="1827"/>
      <c r="EU60" s="1827"/>
      <c r="EV60" s="1827"/>
      <c r="EW60" s="1827"/>
      <c r="EX60" s="1827"/>
      <c r="EY60" s="1827"/>
      <c r="EZ60" s="1827"/>
      <c r="FA60" s="1827"/>
      <c r="FB60" s="1827"/>
      <c r="FC60" s="1827"/>
      <c r="FD60" s="1827"/>
      <c r="FE60" s="1827"/>
      <c r="FF60" s="1827"/>
      <c r="FG60" s="1827"/>
      <c r="FH60" s="1827"/>
      <c r="FI60" s="1827"/>
      <c r="FJ60" s="1827"/>
      <c r="FK60" s="1827"/>
      <c r="FL60" s="1827"/>
      <c r="FM60" s="1827"/>
      <c r="FN60" s="1827"/>
      <c r="FO60" s="1827"/>
      <c r="FP60" s="1827"/>
      <c r="FQ60" s="1827"/>
      <c r="FR60" s="1827"/>
      <c r="FS60" s="1827"/>
      <c r="FT60" s="1827"/>
      <c r="FU60" s="1827"/>
      <c r="FV60" s="1827"/>
      <c r="FW60" s="1827"/>
      <c r="FX60" s="1827"/>
      <c r="FY60" s="1827"/>
      <c r="FZ60" s="1827"/>
      <c r="GA60" s="1827"/>
      <c r="GB60" s="1827"/>
      <c r="GC60" s="1827"/>
      <c r="GD60" s="1827"/>
      <c r="GE60" s="1827"/>
      <c r="GF60" s="1827"/>
      <c r="GG60" s="1827"/>
      <c r="GH60" s="1827"/>
      <c r="GI60" s="1827"/>
      <c r="GJ60" s="1827"/>
      <c r="GK60" s="1827"/>
      <c r="GL60" s="1827"/>
      <c r="GM60" s="1827"/>
      <c r="GN60" s="1827"/>
      <c r="GO60" s="1827"/>
      <c r="GP60" s="1827"/>
      <c r="GQ60" s="1827"/>
      <c r="GR60" s="1827"/>
      <c r="GS60" s="1827"/>
      <c r="GT60" s="1827"/>
      <c r="GU60" s="1827"/>
      <c r="GV60" s="1827"/>
      <c r="GW60" s="1827"/>
      <c r="GX60" s="1827"/>
      <c r="GY60" s="1827"/>
      <c r="GZ60" s="1827"/>
      <c r="HA60" s="1827"/>
      <c r="HB60" s="1827"/>
      <c r="HC60" s="1827"/>
      <c r="HD60" s="1827"/>
      <c r="HE60" s="1827"/>
      <c r="HF60" s="1827"/>
      <c r="HG60" s="1827"/>
      <c r="HH60" s="1827"/>
      <c r="HI60" s="1827"/>
      <c r="HJ60" s="1827"/>
      <c r="HK60" s="1827"/>
      <c r="HL60" s="1827"/>
      <c r="HM60" s="1827"/>
      <c r="HN60" s="1827"/>
      <c r="HO60" s="1827"/>
      <c r="HP60" s="1827"/>
      <c r="HQ60" s="1827"/>
      <c r="HR60" s="1827"/>
      <c r="HS60" s="1827"/>
      <c r="HT60" s="1827"/>
      <c r="HU60" s="1827"/>
      <c r="HV60" s="1827"/>
      <c r="HW60" s="1827"/>
      <c r="HX60" s="1827"/>
      <c r="HY60" s="1827"/>
      <c r="HZ60" s="1827"/>
      <c r="IA60" s="1827"/>
      <c r="IB60" s="1827"/>
      <c r="IC60" s="1827"/>
      <c r="ID60" s="1827"/>
      <c r="IE60" s="1827"/>
      <c r="IF60" s="1827"/>
      <c r="IG60" s="1827"/>
      <c r="IH60" s="1827"/>
      <c r="II60" s="1827"/>
      <c r="IJ60" s="1827"/>
      <c r="IK60" s="1827"/>
      <c r="IL60" s="1827"/>
      <c r="IM60" s="1827"/>
      <c r="IN60" s="1827"/>
      <c r="IO60" s="1827"/>
      <c r="IP60" s="1827"/>
      <c r="IQ60" s="1827"/>
      <c r="IR60" s="1827"/>
      <c r="IS60" s="1827"/>
      <c r="IT60" s="1827"/>
      <c r="IU60" s="1827"/>
      <c r="IV60" s="1827"/>
    </row>
    <row r="61" spans="1:256" ht="13.5" thickTop="1"/>
    <row r="62" spans="1:256">
      <c r="A62" s="1155" t="s">
        <v>316</v>
      </c>
    </row>
    <row r="63" spans="1:256" ht="27.75" customHeight="1">
      <c r="A63" s="1156">
        <v>1</v>
      </c>
      <c r="B63" s="2565" t="s">
        <v>1247</v>
      </c>
      <c r="C63" s="2565"/>
      <c r="D63" s="2565"/>
      <c r="E63" s="2565"/>
      <c r="F63" s="2565"/>
      <c r="G63" s="2565"/>
      <c r="H63" s="2565"/>
      <c r="I63" s="2565"/>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6"/>
  <sheetViews>
    <sheetView zoomScale="70" zoomScaleNormal="70" zoomScaleSheetLayoutView="84" workbookViewId="0">
      <pane ySplit="15" topLeftCell="A16" activePane="bottomLeft" state="frozen"/>
      <selection activeCell="I14" sqref="I14"/>
      <selection pane="bottomLeft" activeCell="V19" sqref="V19"/>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2.75" customHeight="1">
      <c r="A1" s="289"/>
    </row>
    <row r="2" spans="1:23" ht="15">
      <c r="H2" s="546" t="s">
        <v>1091</v>
      </c>
      <c r="U2">
        <f>+'PSO TCOS'!N2</f>
        <v>2018</v>
      </c>
    </row>
    <row r="3" spans="1:23" ht="15">
      <c r="H3" s="547" t="s">
        <v>1090</v>
      </c>
    </row>
    <row r="4" spans="1:23" ht="15">
      <c r="H4" s="57" t="str">
        <f>"For Calendar Year "&amp;U2&amp;" and Projected Year "&amp;U2+1</f>
        <v>For Calendar Year 2018 and Projected Year 2019</v>
      </c>
    </row>
    <row r="5" spans="1:23" ht="15">
      <c r="H5" s="7"/>
    </row>
    <row r="6" spans="1:23" ht="15.75">
      <c r="H6" s="280" t="s">
        <v>558</v>
      </c>
    </row>
    <row r="8" spans="1:23" ht="18">
      <c r="C8" s="548"/>
      <c r="E8" s="548"/>
      <c r="F8" s="548"/>
      <c r="G8" s="548"/>
      <c r="H8" s="549" t="str">
        <f>+'SWEPCO TCOS'!F8</f>
        <v>SOUTHWESTERN ELECTRIC POWER COMPANY</v>
      </c>
      <c r="I8" s="548"/>
      <c r="J8" s="548"/>
      <c r="K8" s="548"/>
    </row>
    <row r="9" spans="1:23">
      <c r="D9" s="239"/>
    </row>
    <row r="10" spans="1:23">
      <c r="A10" t="s">
        <v>1096</v>
      </c>
    </row>
    <row r="13" spans="1:23" ht="24.75" customHeight="1" thickBot="1">
      <c r="A13" s="281" t="s">
        <v>303</v>
      </c>
      <c r="B13" s="281" t="s">
        <v>304</v>
      </c>
      <c r="C13" s="550" t="s">
        <v>47</v>
      </c>
      <c r="D13" s="281" t="s">
        <v>306</v>
      </c>
      <c r="E13" s="281" t="s">
        <v>231</v>
      </c>
      <c r="F13" s="281" t="s">
        <v>232</v>
      </c>
      <c r="G13" s="281" t="str">
        <f>"(G) = "&amp;E13&amp;" + "&amp;F13</f>
        <v>(G) = (E) + (F)</v>
      </c>
      <c r="H13" s="281"/>
      <c r="I13" s="281" t="s">
        <v>238</v>
      </c>
      <c r="J13" s="281" t="s">
        <v>179</v>
      </c>
      <c r="K13" s="281" t="str">
        <f>"(J) = "&amp;I13&amp;" - "&amp;J13</f>
        <v>(J) = (H) - (I)</v>
      </c>
      <c r="L13" s="281"/>
      <c r="M13" s="281" t="s">
        <v>1290</v>
      </c>
      <c r="N13" s="281" t="s">
        <v>559</v>
      </c>
      <c r="O13" s="281" t="str">
        <f>"(M) = "&amp;M13&amp;"-"&amp;N13</f>
        <v>(M) = (K)-(L)</v>
      </c>
      <c r="P13" s="281" t="s">
        <v>1291</v>
      </c>
      <c r="Q13" s="281" t="s">
        <v>561</v>
      </c>
      <c r="R13" s="281" t="str">
        <f>"(P) = "&amp;LEFT(K13,3)&amp;"+ "&amp;LEFT(P13,3)&amp;"+"&amp;LEFT(O13,3)&amp;"+"&amp;Q13</f>
        <v>(P) = (J)+ (N)+(M)+(O)</v>
      </c>
      <c r="S13" s="281"/>
      <c r="T13" s="281" t="str">
        <f>"(Q) = "&amp;LEFT(G13,3)&amp;" + "&amp;LEFT(R13,3)</f>
        <v>(Q) = (G) + (P)</v>
      </c>
      <c r="U13" s="281"/>
      <c r="V13" s="282"/>
      <c r="W13" s="282"/>
    </row>
    <row r="14" spans="1:23" ht="16.5" customHeight="1" thickBot="1">
      <c r="A14" s="551"/>
      <c r="B14" s="552"/>
      <c r="C14" s="552"/>
      <c r="D14" s="552"/>
      <c r="E14" s="2424" t="str">
        <f>"Projected ARR For "&amp;U2+1&amp;" From WS-F"</f>
        <v>Projected ARR For 2019 From WS-F</v>
      </c>
      <c r="F14" s="2424"/>
      <c r="G14" s="2424"/>
      <c r="H14" s="552"/>
      <c r="I14" s="2424" t="str">
        <f>"True Up ARR For "&amp;U2&amp;" From WS-G"</f>
        <v>True Up ARR For 2018 From WS-G</v>
      </c>
      <c r="J14" s="2424"/>
      <c r="K14" s="2424"/>
      <c r="L14" s="553"/>
      <c r="M14" s="553" t="s">
        <v>563</v>
      </c>
      <c r="N14" s="554"/>
      <c r="O14" s="554"/>
      <c r="P14" s="555"/>
      <c r="Q14" s="556"/>
      <c r="R14" s="557"/>
      <c r="S14" s="552"/>
      <c r="T14" s="558"/>
      <c r="U14" s="290"/>
    </row>
    <row r="15" spans="1:23" ht="76.900000000000006" customHeight="1" thickBot="1">
      <c r="A15" s="559" t="s">
        <v>564</v>
      </c>
      <c r="B15" s="560" t="s">
        <v>565</v>
      </c>
      <c r="C15" s="560" t="s">
        <v>566</v>
      </c>
      <c r="D15" s="560" t="s">
        <v>567</v>
      </c>
      <c r="E15" s="560" t="s">
        <v>562</v>
      </c>
      <c r="F15" s="560" t="s">
        <v>568</v>
      </c>
      <c r="G15" s="560" t="s">
        <v>260</v>
      </c>
      <c r="H15" s="560"/>
      <c r="I15" s="560" t="s">
        <v>1363</v>
      </c>
      <c r="J15" s="560" t="s">
        <v>1364</v>
      </c>
      <c r="K15" s="560" t="s">
        <v>1361</v>
      </c>
      <c r="L15" s="560"/>
      <c r="M15" s="560" t="s">
        <v>569</v>
      </c>
      <c r="N15" s="560" t="s">
        <v>1365</v>
      </c>
      <c r="O15" s="560" t="s">
        <v>1361</v>
      </c>
      <c r="P15" s="560" t="s">
        <v>1378</v>
      </c>
      <c r="Q15" s="560" t="s">
        <v>1362</v>
      </c>
      <c r="R15" s="560" t="s">
        <v>1379</v>
      </c>
      <c r="S15" s="561"/>
      <c r="T15" s="562" t="str">
        <f>"Total ADJUSTED Revenue Requirement Effective
1/1/"&amp;U2&amp;""</f>
        <v>Total ADJUSTED Revenue Requirement Effective
1/1/2018</v>
      </c>
      <c r="V15" s="563" t="s">
        <v>1089</v>
      </c>
    </row>
    <row r="16" spans="1:23">
      <c r="A16" s="564"/>
      <c r="B16" s="565"/>
      <c r="C16" s="565"/>
      <c r="D16" s="279"/>
      <c r="E16" s="752"/>
      <c r="F16" s="752"/>
      <c r="G16" s="752"/>
      <c r="H16" s="753"/>
      <c r="I16" s="752"/>
      <c r="J16" s="752"/>
      <c r="K16" s="752"/>
      <c r="L16" s="752"/>
      <c r="M16" s="752"/>
      <c r="N16" s="752"/>
      <c r="O16" s="752"/>
      <c r="P16" s="752"/>
      <c r="Q16" s="752"/>
      <c r="R16" s="752"/>
      <c r="S16" s="753"/>
      <c r="T16" s="754"/>
      <c r="U16" s="700"/>
      <c r="V16" s="755"/>
      <c r="W16" s="700"/>
    </row>
    <row r="17" spans="1:23">
      <c r="A17" s="619" t="s">
        <v>1641</v>
      </c>
      <c r="B17" s="281" t="s">
        <v>1642</v>
      </c>
      <c r="C17" s="394" t="s">
        <v>1713</v>
      </c>
      <c r="D17" s="617">
        <v>2009</v>
      </c>
      <c r="E17" s="692">
        <v>0</v>
      </c>
      <c r="F17" s="693">
        <v>0</v>
      </c>
      <c r="G17" s="693">
        <v>0</v>
      </c>
      <c r="H17" s="694"/>
      <c r="I17" s="692">
        <v>-306635.60782889836</v>
      </c>
      <c r="J17" s="695">
        <v>2152517.1151830358</v>
      </c>
      <c r="K17" s="695">
        <v>2370402.0368809486</v>
      </c>
      <c r="L17" s="696">
        <v>-217884.92169791274</v>
      </c>
      <c r="M17" s="697"/>
      <c r="N17" s="697">
        <v>0</v>
      </c>
      <c r="O17" s="697">
        <v>0</v>
      </c>
      <c r="P17" s="692">
        <v>0</v>
      </c>
      <c r="Q17" s="692">
        <v>-57322.358831968239</v>
      </c>
      <c r="R17" s="698">
        <v>-581842.88835877937</v>
      </c>
      <c r="S17" s="698"/>
      <c r="T17" s="699">
        <v>-581842.88835877937</v>
      </c>
      <c r="U17" s="700"/>
      <c r="V17" s="701">
        <v>-524520.52952681109</v>
      </c>
      <c r="W17" s="700" t="s">
        <v>1641</v>
      </c>
    </row>
    <row r="18" spans="1:23">
      <c r="A18" s="619" t="s">
        <v>1643</v>
      </c>
      <c r="B18" s="281" t="s">
        <v>1642</v>
      </c>
      <c r="C18" s="394" t="s">
        <v>1714</v>
      </c>
      <c r="D18" s="617">
        <v>2009</v>
      </c>
      <c r="E18" s="692">
        <v>0</v>
      </c>
      <c r="F18" s="693">
        <v>0</v>
      </c>
      <c r="G18" s="693">
        <v>0</v>
      </c>
      <c r="H18" s="694"/>
      <c r="I18" s="692">
        <v>-129599.47026886733</v>
      </c>
      <c r="J18" s="695">
        <v>991452.27282325935</v>
      </c>
      <c r="K18" s="695">
        <v>1091810.3602491724</v>
      </c>
      <c r="L18" s="696">
        <v>-100358.08742591308</v>
      </c>
      <c r="M18" s="697"/>
      <c r="N18" s="697">
        <v>0</v>
      </c>
      <c r="O18" s="697">
        <v>0</v>
      </c>
      <c r="P18" s="692">
        <v>0</v>
      </c>
      <c r="Q18" s="692">
        <v>-25130.969897774903</v>
      </c>
      <c r="R18" s="698">
        <v>-255088.5275925553</v>
      </c>
      <c r="S18" s="698"/>
      <c r="T18" s="702">
        <v>-255088.5275925553</v>
      </c>
      <c r="U18" s="700"/>
      <c r="V18" s="701">
        <v>-229957.55769478041</v>
      </c>
      <c r="W18" s="700" t="s">
        <v>1643</v>
      </c>
    </row>
    <row r="19" spans="1:23" ht="25.5">
      <c r="A19" s="619" t="s">
        <v>1644</v>
      </c>
      <c r="B19" s="281" t="s">
        <v>1642</v>
      </c>
      <c r="C19" s="618" t="s">
        <v>1715</v>
      </c>
      <c r="D19" s="617">
        <v>2009</v>
      </c>
      <c r="E19" s="692">
        <v>0</v>
      </c>
      <c r="F19" s="693">
        <v>0</v>
      </c>
      <c r="G19" s="693">
        <v>0</v>
      </c>
      <c r="H19" s="694"/>
      <c r="I19" s="692">
        <v>-252205.8944385082</v>
      </c>
      <c r="J19" s="695">
        <v>1664356.81032127</v>
      </c>
      <c r="K19" s="695">
        <v>1832828.5268694567</v>
      </c>
      <c r="L19" s="696">
        <v>-168471.71654818673</v>
      </c>
      <c r="M19" s="697"/>
      <c r="N19" s="697">
        <v>0</v>
      </c>
      <c r="O19" s="697">
        <v>0</v>
      </c>
      <c r="P19" s="692">
        <v>0</v>
      </c>
      <c r="Q19" s="692">
        <v>-45973.85919538515</v>
      </c>
      <c r="R19" s="698">
        <v>-466651.47018208005</v>
      </c>
      <c r="S19" s="698"/>
      <c r="T19" s="702">
        <v>-466651.47018208005</v>
      </c>
      <c r="U19" s="700"/>
      <c r="V19" s="701">
        <v>-420677.61098669493</v>
      </c>
      <c r="W19" s="700" t="s">
        <v>1644</v>
      </c>
    </row>
    <row r="20" spans="1:23">
      <c r="A20" s="619" t="s">
        <v>1645</v>
      </c>
      <c r="B20" s="281" t="s">
        <v>1642</v>
      </c>
      <c r="C20" s="618" t="s">
        <v>1716</v>
      </c>
      <c r="D20" s="617">
        <v>2009</v>
      </c>
      <c r="E20" s="692">
        <v>0</v>
      </c>
      <c r="F20" s="693">
        <v>0</v>
      </c>
      <c r="G20" s="693">
        <v>0</v>
      </c>
      <c r="H20" s="694"/>
      <c r="I20" s="692">
        <v>-208576.5533909339</v>
      </c>
      <c r="J20" s="695">
        <v>1398427.5837974795</v>
      </c>
      <c r="K20" s="695">
        <v>1539981.0620238329</v>
      </c>
      <c r="L20" s="696">
        <v>-141553.47822635341</v>
      </c>
      <c r="M20" s="697"/>
      <c r="N20" s="697">
        <v>0</v>
      </c>
      <c r="O20" s="697">
        <v>0</v>
      </c>
      <c r="P20" s="692">
        <v>0</v>
      </c>
      <c r="Q20" s="692">
        <v>-38264.04912753492</v>
      </c>
      <c r="R20" s="698">
        <v>-388394.08074482222</v>
      </c>
      <c r="S20" s="698"/>
      <c r="T20" s="702">
        <v>-388394.08074482222</v>
      </c>
      <c r="U20" s="700"/>
      <c r="V20" s="701">
        <v>-350130.03161728731</v>
      </c>
      <c r="W20" s="700" t="s">
        <v>1645</v>
      </c>
    </row>
    <row r="21" spans="1:23" ht="25.5">
      <c r="A21" s="619" t="s">
        <v>1646</v>
      </c>
      <c r="B21" s="281" t="s">
        <v>1642</v>
      </c>
      <c r="C21" s="618" t="s">
        <v>1717</v>
      </c>
      <c r="D21" s="617">
        <v>2009</v>
      </c>
      <c r="E21" s="692">
        <v>0</v>
      </c>
      <c r="F21" s="693">
        <v>0</v>
      </c>
      <c r="G21" s="693">
        <v>0</v>
      </c>
      <c r="H21" s="694"/>
      <c r="I21" s="692">
        <v>-51782.079439896275</v>
      </c>
      <c r="J21" s="695">
        <v>363232.24783348938</v>
      </c>
      <c r="K21" s="695">
        <v>399999.82069928135</v>
      </c>
      <c r="L21" s="696">
        <v>-36767.572865791968</v>
      </c>
      <c r="M21" s="697"/>
      <c r="N21" s="697">
        <v>0</v>
      </c>
      <c r="O21" s="697">
        <v>0</v>
      </c>
      <c r="P21" s="692">
        <v>0</v>
      </c>
      <c r="Q21" s="692">
        <v>-9677.1711652388822</v>
      </c>
      <c r="R21" s="698">
        <v>-98226.82347092712</v>
      </c>
      <c r="S21" s="698"/>
      <c r="T21" s="702">
        <v>-98226.82347092712</v>
      </c>
      <c r="U21" s="700"/>
      <c r="V21" s="701">
        <v>-88549.652305688243</v>
      </c>
      <c r="W21" s="700" t="s">
        <v>1646</v>
      </c>
    </row>
    <row r="22" spans="1:23">
      <c r="A22" s="619" t="s">
        <v>1647</v>
      </c>
      <c r="B22" s="281" t="s">
        <v>1642</v>
      </c>
      <c r="C22" s="618" t="s">
        <v>1718</v>
      </c>
      <c r="D22" s="617">
        <v>2009</v>
      </c>
      <c r="E22" s="692">
        <v>0</v>
      </c>
      <c r="F22" s="693">
        <v>0</v>
      </c>
      <c r="G22" s="693">
        <v>0</v>
      </c>
      <c r="H22" s="694"/>
      <c r="I22" s="692">
        <v>-633789.24938288471</v>
      </c>
      <c r="J22" s="695">
        <v>4642517.4278310305</v>
      </c>
      <c r="K22" s="695">
        <v>5112448.4398119245</v>
      </c>
      <c r="L22" s="696">
        <v>-469931.01198089402</v>
      </c>
      <c r="M22" s="697"/>
      <c r="N22" s="697">
        <v>0</v>
      </c>
      <c r="O22" s="697">
        <v>0</v>
      </c>
      <c r="P22" s="692">
        <v>0</v>
      </c>
      <c r="Q22" s="692">
        <v>-120620.34812838405</v>
      </c>
      <c r="R22" s="698">
        <v>-1224340.6094921627</v>
      </c>
      <c r="S22" s="698"/>
      <c r="T22" s="702">
        <v>-1224340.6094921627</v>
      </c>
      <c r="U22" s="703"/>
      <c r="V22" s="701">
        <v>-1103720.2613637787</v>
      </c>
      <c r="W22" s="703" t="s">
        <v>1647</v>
      </c>
    </row>
    <row r="23" spans="1:23">
      <c r="A23" s="619" t="s">
        <v>1648</v>
      </c>
      <c r="B23" s="281" t="s">
        <v>1642</v>
      </c>
      <c r="C23" s="618" t="s">
        <v>1719</v>
      </c>
      <c r="D23" s="617">
        <v>2009</v>
      </c>
      <c r="E23" s="692">
        <v>0</v>
      </c>
      <c r="F23" s="693">
        <v>0</v>
      </c>
      <c r="G23" s="693">
        <v>0</v>
      </c>
      <c r="H23" s="694"/>
      <c r="I23" s="692">
        <v>-1308.7056588361011</v>
      </c>
      <c r="J23" s="695">
        <v>9336.8852380843782</v>
      </c>
      <c r="K23" s="695">
        <v>10281.995729728214</v>
      </c>
      <c r="L23" s="696">
        <v>-945.11049164383621</v>
      </c>
      <c r="M23" s="697"/>
      <c r="N23" s="697">
        <v>0</v>
      </c>
      <c r="O23" s="697">
        <v>0</v>
      </c>
      <c r="P23" s="692">
        <v>0</v>
      </c>
      <c r="Q23" s="692">
        <v>-246.30886847393165</v>
      </c>
      <c r="R23" s="698">
        <v>-2500.1250189538691</v>
      </c>
      <c r="S23" s="756" t="s">
        <v>83</v>
      </c>
      <c r="T23" s="702">
        <v>-2500.1250189538691</v>
      </c>
      <c r="U23" s="700"/>
      <c r="V23" s="701">
        <v>-2253.8161504799373</v>
      </c>
      <c r="W23" s="700" t="s">
        <v>1648</v>
      </c>
    </row>
    <row r="24" spans="1:23" ht="25.5">
      <c r="A24" s="619" t="s">
        <v>1649</v>
      </c>
      <c r="B24" s="281" t="s">
        <v>1642</v>
      </c>
      <c r="C24" s="618" t="s">
        <v>1720</v>
      </c>
      <c r="D24" s="617">
        <v>2008</v>
      </c>
      <c r="E24" s="692">
        <v>0</v>
      </c>
      <c r="F24" s="693">
        <v>0</v>
      </c>
      <c r="G24" s="693">
        <v>0</v>
      </c>
      <c r="H24" s="694"/>
      <c r="I24" s="692">
        <v>-153237.87178447936</v>
      </c>
      <c r="J24" s="695">
        <v>1141080.3004219041</v>
      </c>
      <c r="K24" s="695">
        <v>1256584.233075799</v>
      </c>
      <c r="L24" s="696">
        <v>-115503.93265389488</v>
      </c>
      <c r="M24" s="697"/>
      <c r="N24" s="697">
        <v>0</v>
      </c>
      <c r="O24" s="697">
        <v>0</v>
      </c>
      <c r="P24" s="692">
        <v>0</v>
      </c>
      <c r="Q24" s="692">
        <v>-29369.516119920896</v>
      </c>
      <c r="R24" s="698">
        <v>-298111.32055829512</v>
      </c>
      <c r="S24" s="698"/>
      <c r="T24" s="702">
        <v>-298111.32055829512</v>
      </c>
      <c r="U24" s="700"/>
      <c r="V24" s="701">
        <v>-268741.80443837424</v>
      </c>
      <c r="W24" s="700" t="s">
        <v>1649</v>
      </c>
    </row>
    <row r="25" spans="1:23" ht="25.5">
      <c r="A25" s="619" t="s">
        <v>1650</v>
      </c>
      <c r="B25" s="281" t="s">
        <v>1642</v>
      </c>
      <c r="C25" s="618" t="s">
        <v>1721</v>
      </c>
      <c r="D25" s="617">
        <v>2008</v>
      </c>
      <c r="E25" s="692">
        <v>0</v>
      </c>
      <c r="F25" s="693">
        <v>0</v>
      </c>
      <c r="G25" s="693">
        <v>0</v>
      </c>
      <c r="H25" s="694"/>
      <c r="I25" s="692">
        <v>-50696.731597629201</v>
      </c>
      <c r="J25" s="695">
        <v>335515.39937136672</v>
      </c>
      <c r="K25" s="695">
        <v>369477.38090676453</v>
      </c>
      <c r="L25" s="696">
        <v>-33961.981535397819</v>
      </c>
      <c r="M25" s="697"/>
      <c r="N25" s="697">
        <v>0</v>
      </c>
      <c r="O25" s="697">
        <v>0</v>
      </c>
      <c r="P25" s="692">
        <v>0</v>
      </c>
      <c r="Q25" s="692">
        <v>-9251.9488929097897</v>
      </c>
      <c r="R25" s="698">
        <v>-93910.662025936806</v>
      </c>
      <c r="S25" s="698"/>
      <c r="T25" s="702">
        <v>-93910.662025936806</v>
      </c>
      <c r="U25" s="700"/>
      <c r="V25" s="701">
        <v>-84658.71313302702</v>
      </c>
      <c r="W25" s="700" t="s">
        <v>1650</v>
      </c>
    </row>
    <row r="26" spans="1:23">
      <c r="A26" s="619" t="s">
        <v>1651</v>
      </c>
      <c r="B26" s="281" t="s">
        <v>1642</v>
      </c>
      <c r="C26" s="621" t="s">
        <v>1722</v>
      </c>
      <c r="D26" s="617">
        <v>2008</v>
      </c>
      <c r="E26" s="692">
        <v>0</v>
      </c>
      <c r="F26" s="693">
        <v>0</v>
      </c>
      <c r="G26" s="693">
        <v>0</v>
      </c>
      <c r="H26" s="694"/>
      <c r="I26" s="692">
        <v>0</v>
      </c>
      <c r="J26" s="695">
        <v>0</v>
      </c>
      <c r="K26" s="695">
        <v>0</v>
      </c>
      <c r="L26" s="696">
        <v>0</v>
      </c>
      <c r="M26" s="697"/>
      <c r="N26" s="697">
        <v>0</v>
      </c>
      <c r="O26" s="697">
        <v>0</v>
      </c>
      <c r="P26" s="692">
        <v>0</v>
      </c>
      <c r="Q26" s="692">
        <v>0</v>
      </c>
      <c r="R26" s="698">
        <v>0</v>
      </c>
      <c r="S26" s="698"/>
      <c r="T26" s="702">
        <v>0</v>
      </c>
      <c r="U26" s="700"/>
      <c r="V26" s="701">
        <v>0</v>
      </c>
      <c r="W26" s="700" t="s">
        <v>1651</v>
      </c>
    </row>
    <row r="27" spans="1:23">
      <c r="A27" s="619" t="s">
        <v>1652</v>
      </c>
      <c r="B27" s="281" t="s">
        <v>1642</v>
      </c>
      <c r="C27" s="621" t="s">
        <v>1723</v>
      </c>
      <c r="D27" s="617">
        <v>2007</v>
      </c>
      <c r="E27" s="692">
        <v>0</v>
      </c>
      <c r="F27" s="693">
        <v>0</v>
      </c>
      <c r="G27" s="693">
        <v>0</v>
      </c>
      <c r="H27" s="694"/>
      <c r="I27" s="692">
        <v>0</v>
      </c>
      <c r="J27" s="695">
        <v>0</v>
      </c>
      <c r="K27" s="695">
        <v>0</v>
      </c>
      <c r="L27" s="696">
        <v>0</v>
      </c>
      <c r="M27" s="697"/>
      <c r="N27" s="697">
        <v>0</v>
      </c>
      <c r="O27" s="697">
        <v>0</v>
      </c>
      <c r="P27" s="692">
        <v>0</v>
      </c>
      <c r="Q27" s="692">
        <v>0</v>
      </c>
      <c r="R27" s="698">
        <v>0</v>
      </c>
      <c r="S27" s="698"/>
      <c r="T27" s="702">
        <v>0</v>
      </c>
      <c r="U27" s="700"/>
      <c r="V27" s="701">
        <v>0</v>
      </c>
      <c r="W27" s="700" t="s">
        <v>1652</v>
      </c>
    </row>
    <row r="28" spans="1:23" ht="25.5">
      <c r="A28" s="619" t="s">
        <v>1653</v>
      </c>
      <c r="B28" s="281" t="s">
        <v>1642</v>
      </c>
      <c r="C28" s="618" t="s">
        <v>1724</v>
      </c>
      <c r="D28" s="617">
        <v>2007</v>
      </c>
      <c r="E28" s="692">
        <v>0</v>
      </c>
      <c r="F28" s="693">
        <v>0</v>
      </c>
      <c r="G28" s="693">
        <v>0</v>
      </c>
      <c r="H28" s="694"/>
      <c r="I28" s="692">
        <v>-3420.1074981037709</v>
      </c>
      <c r="J28" s="695">
        <v>21865.905472639566</v>
      </c>
      <c r="K28" s="695">
        <v>24079.244947691735</v>
      </c>
      <c r="L28" s="696">
        <v>-2213.3394750521693</v>
      </c>
      <c r="M28" s="697"/>
      <c r="N28" s="697">
        <v>0</v>
      </c>
      <c r="O28" s="697">
        <v>0</v>
      </c>
      <c r="P28" s="692">
        <v>0</v>
      </c>
      <c r="Q28" s="692">
        <v>-615.65267835642237</v>
      </c>
      <c r="R28" s="698">
        <v>-6249.0996515123625</v>
      </c>
      <c r="S28" s="698"/>
      <c r="T28" s="702">
        <v>-6249.0996515123625</v>
      </c>
      <c r="U28" s="700"/>
      <c r="V28" s="701">
        <v>-5633.4469731559402</v>
      </c>
      <c r="W28" s="700" t="s">
        <v>1653</v>
      </c>
    </row>
    <row r="29" spans="1:23">
      <c r="A29" s="619" t="s">
        <v>1654</v>
      </c>
      <c r="B29" s="281" t="s">
        <v>1642</v>
      </c>
      <c r="C29" s="618" t="s">
        <v>1725</v>
      </c>
      <c r="D29" s="617">
        <v>2006</v>
      </c>
      <c r="E29" s="692">
        <v>0</v>
      </c>
      <c r="F29" s="693">
        <v>0</v>
      </c>
      <c r="G29" s="693">
        <v>0</v>
      </c>
      <c r="H29" s="694"/>
      <c r="I29" s="692">
        <v>-88194.746671138215</v>
      </c>
      <c r="J29" s="695">
        <v>670958.76317539357</v>
      </c>
      <c r="K29" s="695">
        <v>738875.43456714123</v>
      </c>
      <c r="L29" s="696">
        <v>-67916.671391747659</v>
      </c>
      <c r="M29" s="697"/>
      <c r="N29" s="697">
        <v>0</v>
      </c>
      <c r="O29" s="697">
        <v>0</v>
      </c>
      <c r="P29" s="692">
        <v>0</v>
      </c>
      <c r="Q29" s="692">
        <v>-17060.675836732407</v>
      </c>
      <c r="R29" s="698">
        <v>-173172.09389961828</v>
      </c>
      <c r="S29" s="698"/>
      <c r="T29" s="702">
        <v>-173172.09389961828</v>
      </c>
      <c r="U29" s="700"/>
      <c r="V29" s="701">
        <v>-156111.41806288587</v>
      </c>
      <c r="W29" s="700" t="s">
        <v>1654</v>
      </c>
    </row>
    <row r="30" spans="1:23">
      <c r="A30" s="619" t="s">
        <v>1655</v>
      </c>
      <c r="B30" s="281" t="s">
        <v>1642</v>
      </c>
      <c r="C30" s="621" t="s">
        <v>1726</v>
      </c>
      <c r="D30" s="617">
        <v>2007</v>
      </c>
      <c r="E30" s="692">
        <v>0</v>
      </c>
      <c r="F30" s="693">
        <v>0</v>
      </c>
      <c r="G30" s="693">
        <v>0</v>
      </c>
      <c r="H30" s="694"/>
      <c r="I30" s="692">
        <v>-1362.3452401963532</v>
      </c>
      <c r="J30" s="695">
        <v>9599.986090982391</v>
      </c>
      <c r="K30" s="695">
        <v>10571.728523588734</v>
      </c>
      <c r="L30" s="696">
        <v>-971.74243260634285</v>
      </c>
      <c r="M30" s="697"/>
      <c r="N30" s="697">
        <v>0</v>
      </c>
      <c r="O30" s="697">
        <v>0</v>
      </c>
      <c r="P30" s="692">
        <v>0</v>
      </c>
      <c r="Q30" s="692">
        <v>-255.08136210868904</v>
      </c>
      <c r="R30" s="698">
        <v>-2589.1690349113851</v>
      </c>
      <c r="S30" s="756" t="s">
        <v>83</v>
      </c>
      <c r="T30" s="702">
        <v>-2589.1690349113851</v>
      </c>
      <c r="U30" s="700"/>
      <c r="V30" s="701">
        <v>-2334.087672802696</v>
      </c>
      <c r="W30" s="700" t="s">
        <v>1655</v>
      </c>
    </row>
    <row r="31" spans="1:23">
      <c r="A31" s="619" t="s">
        <v>1656</v>
      </c>
      <c r="B31" s="281" t="s">
        <v>1642</v>
      </c>
      <c r="C31" s="618" t="s">
        <v>1727</v>
      </c>
      <c r="D31" s="617">
        <v>2007</v>
      </c>
      <c r="E31" s="692">
        <v>0</v>
      </c>
      <c r="F31" s="693">
        <v>0</v>
      </c>
      <c r="G31" s="693">
        <v>0</v>
      </c>
      <c r="H31" s="694"/>
      <c r="I31" s="692">
        <v>-6273.5890931088943</v>
      </c>
      <c r="J31" s="695">
        <v>42301.096771322176</v>
      </c>
      <c r="K31" s="695">
        <v>46582.954087458602</v>
      </c>
      <c r="L31" s="696">
        <v>-4281.8573161364257</v>
      </c>
      <c r="M31" s="697"/>
      <c r="N31" s="697">
        <v>0</v>
      </c>
      <c r="O31" s="697">
        <v>0</v>
      </c>
      <c r="P31" s="692">
        <v>0</v>
      </c>
      <c r="Q31" s="692">
        <v>-1153.5546325483583</v>
      </c>
      <c r="R31" s="698">
        <v>-11709.001041793679</v>
      </c>
      <c r="S31" s="698"/>
      <c r="T31" s="702">
        <v>-11709.001041793679</v>
      </c>
      <c r="U31" s="700"/>
      <c r="V31" s="701">
        <v>-10555.44640924532</v>
      </c>
      <c r="W31" s="700" t="s">
        <v>1656</v>
      </c>
    </row>
    <row r="32" spans="1:23">
      <c r="A32" s="619" t="s">
        <v>1657</v>
      </c>
      <c r="B32" s="281" t="s">
        <v>1642</v>
      </c>
      <c r="C32" s="618" t="s">
        <v>1728</v>
      </c>
      <c r="D32" s="617">
        <v>2008</v>
      </c>
      <c r="E32" s="692">
        <v>0</v>
      </c>
      <c r="F32" s="693">
        <v>0</v>
      </c>
      <c r="G32" s="693">
        <v>0</v>
      </c>
      <c r="H32" s="694"/>
      <c r="I32" s="692">
        <v>-6063.915166530096</v>
      </c>
      <c r="J32" s="695">
        <v>46923.030754157036</v>
      </c>
      <c r="K32" s="695">
        <v>51672.735557702297</v>
      </c>
      <c r="L32" s="696">
        <v>-4749.7048035452608</v>
      </c>
      <c r="M32" s="697"/>
      <c r="N32" s="697">
        <v>0</v>
      </c>
      <c r="O32" s="697">
        <v>0</v>
      </c>
      <c r="P32" s="692">
        <v>0</v>
      </c>
      <c r="Q32" s="692">
        <v>-1181.769195490589</v>
      </c>
      <c r="R32" s="698">
        <v>-11995.389165565946</v>
      </c>
      <c r="S32" s="698"/>
      <c r="T32" s="702">
        <v>-11995.389165565946</v>
      </c>
      <c r="U32" s="700"/>
      <c r="V32" s="701">
        <v>-10813.619970075357</v>
      </c>
      <c r="W32" s="700" t="s">
        <v>1657</v>
      </c>
    </row>
    <row r="33" spans="1:23">
      <c r="A33" s="619" t="s">
        <v>1658</v>
      </c>
      <c r="B33" s="281" t="s">
        <v>1642</v>
      </c>
      <c r="C33" s="618" t="s">
        <v>1729</v>
      </c>
      <c r="D33" s="617">
        <v>2008</v>
      </c>
      <c r="E33" s="692">
        <v>0</v>
      </c>
      <c r="F33" s="693">
        <v>0</v>
      </c>
      <c r="G33" s="693">
        <v>0</v>
      </c>
      <c r="H33" s="694"/>
      <c r="I33" s="692">
        <v>-34433.447421289893</v>
      </c>
      <c r="J33" s="695">
        <v>230295.34749066952</v>
      </c>
      <c r="K33" s="695">
        <v>253606.60638912956</v>
      </c>
      <c r="L33" s="696">
        <v>-23311.258898460044</v>
      </c>
      <c r="M33" s="697"/>
      <c r="N33" s="697">
        <v>0</v>
      </c>
      <c r="O33" s="697">
        <v>0</v>
      </c>
      <c r="P33" s="692">
        <v>0</v>
      </c>
      <c r="Q33" s="692">
        <v>-6310.6448460529418</v>
      </c>
      <c r="R33" s="698">
        <v>-64055.35116580288</v>
      </c>
      <c r="S33" s="698"/>
      <c r="T33" s="702">
        <v>-64055.35116580288</v>
      </c>
      <c r="U33" s="700"/>
      <c r="V33" s="701">
        <v>-57744.706319749937</v>
      </c>
      <c r="W33" s="700" t="s">
        <v>1658</v>
      </c>
    </row>
    <row r="34" spans="1:23">
      <c r="A34" s="619" t="s">
        <v>1659</v>
      </c>
      <c r="B34" s="281" t="s">
        <v>1642</v>
      </c>
      <c r="C34" s="618" t="s">
        <v>1730</v>
      </c>
      <c r="D34" s="617">
        <v>2009</v>
      </c>
      <c r="E34" s="692">
        <v>0</v>
      </c>
      <c r="F34" s="693">
        <v>0</v>
      </c>
      <c r="G34" s="693">
        <v>0</v>
      </c>
      <c r="H34" s="694"/>
      <c r="I34" s="692">
        <v>0</v>
      </c>
      <c r="J34" s="695">
        <v>0</v>
      </c>
      <c r="K34" s="695">
        <v>0</v>
      </c>
      <c r="L34" s="696">
        <v>0</v>
      </c>
      <c r="M34" s="697"/>
      <c r="N34" s="697">
        <v>0</v>
      </c>
      <c r="O34" s="697">
        <v>0</v>
      </c>
      <c r="P34" s="692">
        <v>0</v>
      </c>
      <c r="Q34" s="692">
        <v>0</v>
      </c>
      <c r="R34" s="698">
        <v>0</v>
      </c>
      <c r="S34" s="698"/>
      <c r="T34" s="702">
        <v>0</v>
      </c>
      <c r="U34" s="700"/>
      <c r="V34" s="701">
        <v>0</v>
      </c>
      <c r="W34" s="700" t="s">
        <v>1659</v>
      </c>
    </row>
    <row r="35" spans="1:23">
      <c r="A35" s="619" t="s">
        <v>1660</v>
      </c>
      <c r="B35" s="281" t="s">
        <v>1642</v>
      </c>
      <c r="C35" s="618" t="s">
        <v>1731</v>
      </c>
      <c r="D35" s="617">
        <v>2008</v>
      </c>
      <c r="E35" s="692">
        <v>0</v>
      </c>
      <c r="F35" s="693">
        <v>0</v>
      </c>
      <c r="G35" s="693">
        <v>0</v>
      </c>
      <c r="H35" s="694"/>
      <c r="I35" s="692">
        <v>-79637.754467313876</v>
      </c>
      <c r="J35" s="695">
        <v>529154.55167164444</v>
      </c>
      <c r="K35" s="695">
        <v>582717.33044995228</v>
      </c>
      <c r="L35" s="696">
        <v>-53562.778778307838</v>
      </c>
      <c r="M35" s="697"/>
      <c r="N35" s="697">
        <v>0</v>
      </c>
      <c r="O35" s="697">
        <v>0</v>
      </c>
      <c r="P35" s="692">
        <v>0</v>
      </c>
      <c r="Q35" s="692">
        <v>-14556.853990449496</v>
      </c>
      <c r="R35" s="698">
        <v>-147757.3872360712</v>
      </c>
      <c r="S35" s="698"/>
      <c r="T35" s="702">
        <v>-147757.3872360712</v>
      </c>
      <c r="U35" s="700"/>
      <c r="V35" s="701">
        <v>-133200.53324562171</v>
      </c>
      <c r="W35" s="700" t="s">
        <v>1660</v>
      </c>
    </row>
    <row r="36" spans="1:23" ht="25.5">
      <c r="A36" s="619" t="s">
        <v>1661</v>
      </c>
      <c r="B36" s="281" t="s">
        <v>1642</v>
      </c>
      <c r="C36" s="618" t="s">
        <v>1732</v>
      </c>
      <c r="D36" s="617">
        <v>2008</v>
      </c>
      <c r="E36" s="692">
        <v>0</v>
      </c>
      <c r="F36" s="693">
        <v>0</v>
      </c>
      <c r="G36" s="693">
        <v>0</v>
      </c>
      <c r="H36" s="694"/>
      <c r="I36" s="692">
        <v>0</v>
      </c>
      <c r="J36" s="695">
        <v>0</v>
      </c>
      <c r="K36" s="695">
        <v>0</v>
      </c>
      <c r="L36" s="696">
        <v>0</v>
      </c>
      <c r="M36" s="697"/>
      <c r="N36" s="697">
        <v>0</v>
      </c>
      <c r="O36" s="697">
        <v>0</v>
      </c>
      <c r="P36" s="692">
        <v>0</v>
      </c>
      <c r="Q36" s="692">
        <v>0</v>
      </c>
      <c r="R36" s="698">
        <v>0</v>
      </c>
      <c r="S36" s="698"/>
      <c r="T36" s="702">
        <v>0</v>
      </c>
      <c r="U36" s="700"/>
      <c r="V36" s="701">
        <v>0</v>
      </c>
      <c r="W36" s="700" t="s">
        <v>1661</v>
      </c>
    </row>
    <row r="37" spans="1:23">
      <c r="A37" s="619" t="s">
        <v>1662</v>
      </c>
      <c r="B37" s="281" t="s">
        <v>1642</v>
      </c>
      <c r="C37" s="618" t="s">
        <v>1733</v>
      </c>
      <c r="D37" s="617">
        <v>2010</v>
      </c>
      <c r="E37" s="692">
        <v>0</v>
      </c>
      <c r="F37" s="693">
        <v>0</v>
      </c>
      <c r="G37" s="693">
        <v>0</v>
      </c>
      <c r="H37" s="694"/>
      <c r="I37" s="692">
        <v>-27977.184858680412</v>
      </c>
      <c r="J37" s="695">
        <v>202063.34368551179</v>
      </c>
      <c r="K37" s="695">
        <v>222516.86552112905</v>
      </c>
      <c r="L37" s="696">
        <v>-20453.521835617255</v>
      </c>
      <c r="M37" s="697"/>
      <c r="N37" s="697">
        <v>0</v>
      </c>
      <c r="O37" s="697">
        <v>0</v>
      </c>
      <c r="P37" s="692">
        <v>0</v>
      </c>
      <c r="Q37" s="692">
        <v>-5292.7620394969354</v>
      </c>
      <c r="R37" s="698">
        <v>-53723.468733794602</v>
      </c>
      <c r="S37" s="698"/>
      <c r="T37" s="702">
        <v>-53723.468733794602</v>
      </c>
      <c r="U37" s="700"/>
      <c r="V37" s="701">
        <v>-48430.706694297667</v>
      </c>
      <c r="W37" s="700" t="s">
        <v>1662</v>
      </c>
    </row>
    <row r="38" spans="1:23">
      <c r="A38" s="619" t="s">
        <v>1663</v>
      </c>
      <c r="B38" s="281" t="s">
        <v>1642</v>
      </c>
      <c r="C38" s="618" t="s">
        <v>1734</v>
      </c>
      <c r="D38" s="617">
        <v>2010</v>
      </c>
      <c r="E38" s="692">
        <v>0</v>
      </c>
      <c r="F38" s="693">
        <v>0</v>
      </c>
      <c r="G38" s="693">
        <v>0</v>
      </c>
      <c r="H38" s="694"/>
      <c r="I38" s="692">
        <v>-3667.8683860070887</v>
      </c>
      <c r="J38" s="695">
        <v>25399.259321761921</v>
      </c>
      <c r="K38" s="695">
        <v>27970.256592571772</v>
      </c>
      <c r="L38" s="696">
        <v>-2570.9972708098503</v>
      </c>
      <c r="M38" s="697"/>
      <c r="N38" s="697">
        <v>0</v>
      </c>
      <c r="O38" s="697">
        <v>0</v>
      </c>
      <c r="P38" s="692">
        <v>0</v>
      </c>
      <c r="Q38" s="692">
        <v>-681.81601243926832</v>
      </c>
      <c r="R38" s="698">
        <v>-6920.681669256207</v>
      </c>
      <c r="S38" s="698"/>
      <c r="T38" s="702">
        <v>-6920.681669256207</v>
      </c>
      <c r="U38" s="700"/>
      <c r="V38" s="701">
        <v>-6238.865656816939</v>
      </c>
      <c r="W38" s="700" t="s">
        <v>1663</v>
      </c>
    </row>
    <row r="39" spans="1:23" ht="25.5">
      <c r="A39" s="619" t="s">
        <v>1664</v>
      </c>
      <c r="B39" s="281" t="s">
        <v>1642</v>
      </c>
      <c r="C39" s="618" t="s">
        <v>1735</v>
      </c>
      <c r="D39" s="617">
        <v>2010</v>
      </c>
      <c r="E39" s="692">
        <v>0</v>
      </c>
      <c r="F39" s="693">
        <v>0</v>
      </c>
      <c r="G39" s="693">
        <v>0</v>
      </c>
      <c r="H39" s="694"/>
      <c r="I39" s="692">
        <v>-85038.354866377311</v>
      </c>
      <c r="J39" s="695">
        <v>591616.86939015053</v>
      </c>
      <c r="K39" s="695">
        <v>651502.29113801708</v>
      </c>
      <c r="L39" s="696">
        <v>-59885.421747866552</v>
      </c>
      <c r="M39" s="697"/>
      <c r="N39" s="697">
        <v>0</v>
      </c>
      <c r="O39" s="697">
        <v>0</v>
      </c>
      <c r="P39" s="692">
        <v>0</v>
      </c>
      <c r="Q39" s="692">
        <v>-15838.0316092872</v>
      </c>
      <c r="R39" s="698">
        <v>-160761.80822353106</v>
      </c>
      <c r="S39" s="698"/>
      <c r="T39" s="702">
        <v>-160761.80822353106</v>
      </c>
      <c r="U39" s="700"/>
      <c r="V39" s="701">
        <v>-144923.77661424386</v>
      </c>
      <c r="W39" s="700" t="s">
        <v>1664</v>
      </c>
    </row>
    <row r="40" spans="1:23" ht="25.5">
      <c r="A40" s="619" t="s">
        <v>1665</v>
      </c>
      <c r="B40" s="281" t="s">
        <v>1642</v>
      </c>
      <c r="C40" s="618" t="s">
        <v>1736</v>
      </c>
      <c r="D40" s="617">
        <v>2010</v>
      </c>
      <c r="E40" s="692">
        <v>0</v>
      </c>
      <c r="F40" s="693">
        <v>0</v>
      </c>
      <c r="G40" s="693">
        <v>0</v>
      </c>
      <c r="H40" s="694"/>
      <c r="I40" s="692">
        <v>-92826.726832493208</v>
      </c>
      <c r="J40" s="695">
        <v>647652.26269702509</v>
      </c>
      <c r="K40" s="695">
        <v>713209.7728091887</v>
      </c>
      <c r="L40" s="696">
        <v>-65557.510112163611</v>
      </c>
      <c r="M40" s="697"/>
      <c r="N40" s="697">
        <v>0</v>
      </c>
      <c r="O40" s="697">
        <v>0</v>
      </c>
      <c r="P40" s="692">
        <v>0</v>
      </c>
      <c r="Q40" s="692">
        <v>-17309.0614235053</v>
      </c>
      <c r="R40" s="698">
        <v>-175693.29836816213</v>
      </c>
      <c r="S40" s="698"/>
      <c r="T40" s="702">
        <v>-175693.29836816213</v>
      </c>
      <c r="U40" s="700"/>
      <c r="V40" s="701">
        <v>-158384.23694465682</v>
      </c>
      <c r="W40" s="700" t="s">
        <v>1665</v>
      </c>
    </row>
    <row r="41" spans="1:23">
      <c r="A41" s="619" t="s">
        <v>1666</v>
      </c>
      <c r="B41" s="281" t="s">
        <v>1642</v>
      </c>
      <c r="C41" s="618" t="s">
        <v>1737</v>
      </c>
      <c r="D41" s="617">
        <v>2010</v>
      </c>
      <c r="E41" s="692">
        <v>0</v>
      </c>
      <c r="F41" s="693">
        <v>0</v>
      </c>
      <c r="G41" s="693">
        <v>0</v>
      </c>
      <c r="H41" s="694"/>
      <c r="I41" s="692">
        <v>-1611.0617125201024</v>
      </c>
      <c r="J41" s="695">
        <v>11101.70183761557</v>
      </c>
      <c r="K41" s="695">
        <v>12225.452918868532</v>
      </c>
      <c r="L41" s="696">
        <v>-1123.7510812529617</v>
      </c>
      <c r="M41" s="697"/>
      <c r="N41" s="697">
        <v>0</v>
      </c>
      <c r="O41" s="697">
        <v>0</v>
      </c>
      <c r="P41" s="692">
        <v>0</v>
      </c>
      <c r="Q41" s="692">
        <v>-298.87470838241796</v>
      </c>
      <c r="R41" s="698">
        <v>-3033.687502155482</v>
      </c>
      <c r="S41" s="756" t="s">
        <v>83</v>
      </c>
      <c r="T41" s="702">
        <v>-3033.687502155482</v>
      </c>
      <c r="U41" s="700"/>
      <c r="V41" s="701">
        <v>-2734.8127937730642</v>
      </c>
      <c r="W41" s="700" t="s">
        <v>1666</v>
      </c>
    </row>
    <row r="42" spans="1:23">
      <c r="A42" s="619" t="s">
        <v>1667</v>
      </c>
      <c r="B42" s="281" t="s">
        <v>1642</v>
      </c>
      <c r="C42" s="618" t="s">
        <v>1738</v>
      </c>
      <c r="D42" s="617">
        <v>2011</v>
      </c>
      <c r="E42" s="692">
        <v>0</v>
      </c>
      <c r="F42" s="693">
        <v>0</v>
      </c>
      <c r="G42" s="693">
        <v>0</v>
      </c>
      <c r="H42" s="694"/>
      <c r="I42" s="692">
        <v>-4977.0071860142052</v>
      </c>
      <c r="J42" s="695">
        <v>31735.714247629789</v>
      </c>
      <c r="K42" s="695">
        <v>34948.108502290183</v>
      </c>
      <c r="L42" s="696">
        <v>-3212.3942546603939</v>
      </c>
      <c r="M42" s="697"/>
      <c r="N42" s="697">
        <v>0</v>
      </c>
      <c r="O42" s="697">
        <v>0</v>
      </c>
      <c r="P42" s="692">
        <v>0</v>
      </c>
      <c r="Q42" s="692">
        <v>-894.98080928287402</v>
      </c>
      <c r="R42" s="698">
        <v>-9084.3822499574726</v>
      </c>
      <c r="S42" s="756" t="s">
        <v>83</v>
      </c>
      <c r="T42" s="702">
        <v>-9084.3822499574726</v>
      </c>
      <c r="U42" s="700"/>
      <c r="V42" s="701">
        <v>-8189.4014406745991</v>
      </c>
      <c r="W42" s="700" t="s">
        <v>1667</v>
      </c>
    </row>
    <row r="43" spans="1:23">
      <c r="A43" s="619" t="s">
        <v>1668</v>
      </c>
      <c r="B43" s="281" t="s">
        <v>1642</v>
      </c>
      <c r="C43" s="618" t="s">
        <v>1739</v>
      </c>
      <c r="D43" s="617">
        <v>2012</v>
      </c>
      <c r="E43" s="692">
        <v>0</v>
      </c>
      <c r="F43" s="693">
        <v>0</v>
      </c>
      <c r="G43" s="693">
        <v>0</v>
      </c>
      <c r="H43" s="694"/>
      <c r="I43" s="692">
        <v>-7935.6285566836668</v>
      </c>
      <c r="J43" s="695">
        <v>54472.568560847802</v>
      </c>
      <c r="K43" s="695">
        <v>59986.462620898172</v>
      </c>
      <c r="L43" s="696">
        <v>-5513.8940600503702</v>
      </c>
      <c r="M43" s="697"/>
      <c r="N43" s="697">
        <v>0</v>
      </c>
      <c r="O43" s="697">
        <v>0</v>
      </c>
      <c r="P43" s="692">
        <v>0</v>
      </c>
      <c r="Q43" s="692">
        <v>-1469.8344834102306</v>
      </c>
      <c r="R43" s="698">
        <v>-14919.357100144267</v>
      </c>
      <c r="S43" s="756" t="s">
        <v>83</v>
      </c>
      <c r="T43" s="702">
        <v>-14919.357100144267</v>
      </c>
      <c r="U43" s="700"/>
      <c r="V43" s="701">
        <v>-13449.522616734037</v>
      </c>
      <c r="W43" s="700" t="s">
        <v>1668</v>
      </c>
    </row>
    <row r="44" spans="1:23">
      <c r="A44" s="619" t="s">
        <v>1669</v>
      </c>
      <c r="B44" s="281" t="s">
        <v>1642</v>
      </c>
      <c r="C44" s="618" t="s">
        <v>1740</v>
      </c>
      <c r="D44" s="617">
        <v>2012</v>
      </c>
      <c r="E44" s="692">
        <v>0</v>
      </c>
      <c r="F44" s="693">
        <v>0</v>
      </c>
      <c r="G44" s="693">
        <v>0</v>
      </c>
      <c r="H44" s="694"/>
      <c r="I44" s="692">
        <v>-99138.910423784866</v>
      </c>
      <c r="J44" s="695">
        <v>681202.94588612637</v>
      </c>
      <c r="K44" s="695">
        <v>750156.56742895208</v>
      </c>
      <c r="L44" s="696">
        <v>-68953.621542825713</v>
      </c>
      <c r="M44" s="697"/>
      <c r="N44" s="697">
        <v>0</v>
      </c>
      <c r="O44" s="697">
        <v>0</v>
      </c>
      <c r="P44" s="692">
        <v>0</v>
      </c>
      <c r="Q44" s="692">
        <v>-18370.034902269013</v>
      </c>
      <c r="R44" s="698">
        <v>-186462.5668688796</v>
      </c>
      <c r="S44" s="756" t="s">
        <v>83</v>
      </c>
      <c r="T44" s="702">
        <v>-186462.5668688796</v>
      </c>
      <c r="U44" s="700"/>
      <c r="V44" s="701">
        <v>-168092.53196661058</v>
      </c>
      <c r="W44" s="700" t="s">
        <v>1669</v>
      </c>
    </row>
    <row r="45" spans="1:23" ht="38.25">
      <c r="A45" s="619" t="s">
        <v>1670</v>
      </c>
      <c r="B45" s="281" t="s">
        <v>1642</v>
      </c>
      <c r="C45" s="618" t="s">
        <v>1741</v>
      </c>
      <c r="D45" s="617">
        <v>2012</v>
      </c>
      <c r="E45" s="692">
        <v>0</v>
      </c>
      <c r="F45" s="693">
        <v>0</v>
      </c>
      <c r="G45" s="693">
        <v>0</v>
      </c>
      <c r="H45" s="694"/>
      <c r="I45" s="692">
        <v>-36176.081633965834</v>
      </c>
      <c r="J45" s="695">
        <v>246247.18252048062</v>
      </c>
      <c r="K45" s="695">
        <v>271173.13906844711</v>
      </c>
      <c r="L45" s="696">
        <v>-24925.956547966489</v>
      </c>
      <c r="M45" s="697"/>
      <c r="N45" s="697">
        <v>0</v>
      </c>
      <c r="O45" s="697">
        <v>0</v>
      </c>
      <c r="P45" s="692">
        <v>0</v>
      </c>
      <c r="Q45" s="692">
        <v>-6677.5517083937448</v>
      </c>
      <c r="R45" s="698">
        <v>-67779.589890326068</v>
      </c>
      <c r="S45" s="756" t="s">
        <v>83</v>
      </c>
      <c r="T45" s="702">
        <v>-67779.589890326068</v>
      </c>
      <c r="U45" s="700"/>
      <c r="V45" s="701">
        <v>-61102.038181932323</v>
      </c>
      <c r="W45" s="700" t="s">
        <v>1670</v>
      </c>
    </row>
    <row r="46" spans="1:23">
      <c r="A46" s="619" t="s">
        <v>1671</v>
      </c>
      <c r="B46" s="281" t="s">
        <v>1642</v>
      </c>
      <c r="C46" s="618" t="s">
        <v>1742</v>
      </c>
      <c r="D46" s="617">
        <v>2012</v>
      </c>
      <c r="E46" s="692">
        <v>0</v>
      </c>
      <c r="F46" s="693">
        <v>0</v>
      </c>
      <c r="G46" s="693">
        <v>0</v>
      </c>
      <c r="H46" s="694"/>
      <c r="I46" s="692">
        <v>-909846.73785120249</v>
      </c>
      <c r="J46" s="695">
        <v>6191971.5095331231</v>
      </c>
      <c r="K46" s="695">
        <v>6818743.4027710576</v>
      </c>
      <c r="L46" s="696">
        <v>-626771.89323793445</v>
      </c>
      <c r="M46" s="697"/>
      <c r="N46" s="697">
        <v>0</v>
      </c>
      <c r="O46" s="697">
        <v>0</v>
      </c>
      <c r="P46" s="692">
        <v>0</v>
      </c>
      <c r="Q46" s="692">
        <v>-167929.75603574913</v>
      </c>
      <c r="R46" s="698">
        <v>-1704548.387124886</v>
      </c>
      <c r="S46" s="756" t="s">
        <v>83</v>
      </c>
      <c r="T46" s="702">
        <v>-1704548.387124886</v>
      </c>
      <c r="U46" s="700"/>
      <c r="V46" s="701">
        <v>-1536618.6310891369</v>
      </c>
      <c r="W46" s="700" t="s">
        <v>1671</v>
      </c>
    </row>
    <row r="47" spans="1:23" ht="25.5">
      <c r="A47" s="619" t="s">
        <v>1672</v>
      </c>
      <c r="B47" s="281" t="s">
        <v>1642</v>
      </c>
      <c r="C47" s="618" t="s">
        <v>1743</v>
      </c>
      <c r="D47" s="617">
        <v>2012</v>
      </c>
      <c r="E47" s="692">
        <v>0</v>
      </c>
      <c r="F47" s="693">
        <v>0</v>
      </c>
      <c r="G47" s="693">
        <v>0</v>
      </c>
      <c r="H47" s="694"/>
      <c r="I47" s="692">
        <v>-4297.8302836621551</v>
      </c>
      <c r="J47" s="695">
        <v>29808.703742720383</v>
      </c>
      <c r="K47" s="695">
        <v>32826.039602717305</v>
      </c>
      <c r="L47" s="696">
        <v>-3017.3358599969215</v>
      </c>
      <c r="M47" s="697"/>
      <c r="N47" s="697">
        <v>0</v>
      </c>
      <c r="O47" s="697">
        <v>0</v>
      </c>
      <c r="P47" s="692">
        <v>0</v>
      </c>
      <c r="Q47" s="692">
        <v>-799.43978356877074</v>
      </c>
      <c r="R47" s="698">
        <v>-8114.6059272278471</v>
      </c>
      <c r="S47" s="756" t="s">
        <v>83</v>
      </c>
      <c r="T47" s="702">
        <v>-8114.6059272278471</v>
      </c>
      <c r="U47" s="700"/>
      <c r="V47" s="701">
        <v>-7315.1661436590766</v>
      </c>
      <c r="W47" s="700" t="s">
        <v>1672</v>
      </c>
    </row>
    <row r="48" spans="1:23">
      <c r="A48" s="619" t="s">
        <v>1673</v>
      </c>
      <c r="B48" s="281" t="s">
        <v>1642</v>
      </c>
      <c r="C48" s="618" t="s">
        <v>1744</v>
      </c>
      <c r="D48" s="617">
        <v>2012</v>
      </c>
      <c r="E48" s="692">
        <v>0</v>
      </c>
      <c r="F48" s="693">
        <v>0</v>
      </c>
      <c r="G48" s="693">
        <v>0</v>
      </c>
      <c r="H48" s="694"/>
      <c r="I48" s="692">
        <v>-79466.866898904613</v>
      </c>
      <c r="J48" s="695">
        <v>540378.97775053792</v>
      </c>
      <c r="K48" s="695">
        <v>595077.93016484298</v>
      </c>
      <c r="L48" s="696">
        <v>-54698.952414305066</v>
      </c>
      <c r="M48" s="697"/>
      <c r="N48" s="697">
        <v>0</v>
      </c>
      <c r="O48" s="697">
        <v>0</v>
      </c>
      <c r="P48" s="692">
        <v>0</v>
      </c>
      <c r="Q48" s="692">
        <v>-14662.345522671685</v>
      </c>
      <c r="R48" s="698">
        <v>-148828.16483588135</v>
      </c>
      <c r="S48" s="756" t="s">
        <v>83</v>
      </c>
      <c r="T48" s="702">
        <v>-148828.16483588135</v>
      </c>
      <c r="U48" s="700"/>
      <c r="V48" s="701">
        <v>-134165.81931320968</v>
      </c>
      <c r="W48" s="700" t="s">
        <v>1673</v>
      </c>
    </row>
    <row r="49" spans="1:23">
      <c r="A49" s="619" t="s">
        <v>1674</v>
      </c>
      <c r="B49" s="281" t="s">
        <v>1642</v>
      </c>
      <c r="C49" s="618" t="s">
        <v>1745</v>
      </c>
      <c r="D49" s="617">
        <v>2012</v>
      </c>
      <c r="E49" s="692">
        <v>0</v>
      </c>
      <c r="F49" s="693">
        <v>0</v>
      </c>
      <c r="G49" s="693">
        <v>0</v>
      </c>
      <c r="H49" s="694"/>
      <c r="I49" s="692">
        <v>-1167995.2326998888</v>
      </c>
      <c r="J49" s="695">
        <v>7909466.8160215979</v>
      </c>
      <c r="K49" s="695">
        <v>8710089.2806353401</v>
      </c>
      <c r="L49" s="696">
        <v>-800622.4646137422</v>
      </c>
      <c r="M49" s="697"/>
      <c r="N49" s="697">
        <v>0</v>
      </c>
      <c r="O49" s="697">
        <v>0</v>
      </c>
      <c r="P49" s="692">
        <v>0</v>
      </c>
      <c r="Q49" s="692">
        <v>-215140.88333239744</v>
      </c>
      <c r="R49" s="698">
        <v>-2183758.5806460283</v>
      </c>
      <c r="S49" s="756" t="s">
        <v>83</v>
      </c>
      <c r="T49" s="702">
        <v>-2183758.5806460283</v>
      </c>
      <c r="U49" s="700"/>
      <c r="V49" s="701">
        <v>-1968617.697313631</v>
      </c>
      <c r="W49" s="700" t="s">
        <v>1674</v>
      </c>
    </row>
    <row r="50" spans="1:23">
      <c r="A50" s="619" t="s">
        <v>1675</v>
      </c>
      <c r="B50" s="281" t="s">
        <v>1642</v>
      </c>
      <c r="C50" s="618" t="s">
        <v>1746</v>
      </c>
      <c r="D50" s="617">
        <v>2013</v>
      </c>
      <c r="E50" s="692">
        <v>0</v>
      </c>
      <c r="F50" s="693">
        <v>0</v>
      </c>
      <c r="G50" s="693">
        <v>0</v>
      </c>
      <c r="H50" s="694"/>
      <c r="I50" s="692">
        <v>-168210.93712804734</v>
      </c>
      <c r="J50" s="695">
        <v>1136928.6927975083</v>
      </c>
      <c r="K50" s="695">
        <v>1252012.3859579368</v>
      </c>
      <c r="L50" s="696">
        <v>-115083.69316042843</v>
      </c>
      <c r="M50" s="697"/>
      <c r="N50" s="697">
        <v>0</v>
      </c>
      <c r="O50" s="697">
        <v>0</v>
      </c>
      <c r="P50" s="692">
        <v>0</v>
      </c>
      <c r="Q50" s="692">
        <v>-30959.925376449381</v>
      </c>
      <c r="R50" s="698">
        <v>-314254.55566492514</v>
      </c>
      <c r="S50" s="756" t="s">
        <v>83</v>
      </c>
      <c r="T50" s="702">
        <v>-314254.55566492514</v>
      </c>
      <c r="U50" s="700"/>
      <c r="V50" s="701">
        <v>-283294.63028847578</v>
      </c>
      <c r="W50" s="700" t="s">
        <v>1675</v>
      </c>
    </row>
    <row r="51" spans="1:23">
      <c r="A51" s="619" t="s">
        <v>1676</v>
      </c>
      <c r="B51" s="281" t="s">
        <v>1642</v>
      </c>
      <c r="C51" s="618" t="s">
        <v>1747</v>
      </c>
      <c r="D51" s="617">
        <v>2013</v>
      </c>
      <c r="E51" s="692">
        <v>0</v>
      </c>
      <c r="F51" s="693">
        <v>0</v>
      </c>
      <c r="G51" s="693">
        <v>0</v>
      </c>
      <c r="H51" s="694"/>
      <c r="I51" s="692">
        <v>-85499.833044643747</v>
      </c>
      <c r="J51" s="695">
        <v>570667.70118930691</v>
      </c>
      <c r="K51" s="695">
        <v>628432.57864933438</v>
      </c>
      <c r="L51" s="696">
        <v>-57764.877460027463</v>
      </c>
      <c r="M51" s="697"/>
      <c r="N51" s="697">
        <v>0</v>
      </c>
      <c r="O51" s="697">
        <v>0</v>
      </c>
      <c r="P51" s="692">
        <v>0</v>
      </c>
      <c r="Q51" s="692">
        <v>-15656.720149572409</v>
      </c>
      <c r="R51" s="698">
        <v>-158921.43065424362</v>
      </c>
      <c r="S51" s="756" t="s">
        <v>83</v>
      </c>
      <c r="T51" s="702">
        <v>-158921.43065424362</v>
      </c>
      <c r="U51" s="700"/>
      <c r="V51" s="701">
        <v>-143264.71050467121</v>
      </c>
      <c r="W51" s="700" t="s">
        <v>1676</v>
      </c>
    </row>
    <row r="52" spans="1:23">
      <c r="A52" s="619" t="s">
        <v>1677</v>
      </c>
      <c r="B52" s="281" t="s">
        <v>1642</v>
      </c>
      <c r="C52" s="618" t="s">
        <v>1748</v>
      </c>
      <c r="D52" s="617">
        <v>2013</v>
      </c>
      <c r="E52" s="692">
        <v>0</v>
      </c>
      <c r="F52" s="693">
        <v>0</v>
      </c>
      <c r="G52" s="693">
        <v>0</v>
      </c>
      <c r="H52" s="694"/>
      <c r="I52" s="692">
        <v>-137269.82783126307</v>
      </c>
      <c r="J52" s="695">
        <v>844661.94263901934</v>
      </c>
      <c r="K52" s="695">
        <v>930161.42598108796</v>
      </c>
      <c r="L52" s="696">
        <v>-85499.483342068619</v>
      </c>
      <c r="M52" s="697"/>
      <c r="N52" s="697">
        <v>0</v>
      </c>
      <c r="O52" s="697">
        <v>0</v>
      </c>
      <c r="P52" s="692">
        <v>0</v>
      </c>
      <c r="Q52" s="692">
        <v>-24345.400557244317</v>
      </c>
      <c r="R52" s="698">
        <v>-247114.711730576</v>
      </c>
      <c r="S52" s="756" t="s">
        <v>83</v>
      </c>
      <c r="T52" s="702">
        <v>-247114.711730576</v>
      </c>
      <c r="U52" s="700"/>
      <c r="V52" s="701">
        <v>-222769.31117333169</v>
      </c>
      <c r="W52" s="700" t="s">
        <v>1677</v>
      </c>
    </row>
    <row r="53" spans="1:23" ht="25.5">
      <c r="A53" s="619" t="s">
        <v>1678</v>
      </c>
      <c r="B53" s="281" t="s">
        <v>1642</v>
      </c>
      <c r="C53" s="618" t="s">
        <v>1749</v>
      </c>
      <c r="D53" s="617">
        <v>2013</v>
      </c>
      <c r="E53" s="692">
        <v>0</v>
      </c>
      <c r="F53" s="693">
        <v>0</v>
      </c>
      <c r="G53" s="693">
        <v>0</v>
      </c>
      <c r="H53" s="694"/>
      <c r="I53" s="692">
        <v>-99082.019601390697</v>
      </c>
      <c r="J53" s="695">
        <v>667033.77445044834</v>
      </c>
      <c r="K53" s="695">
        <v>734553.14546536386</v>
      </c>
      <c r="L53" s="696">
        <v>-67519.371014915523</v>
      </c>
      <c r="M53" s="697"/>
      <c r="N53" s="697">
        <v>0</v>
      </c>
      <c r="O53" s="697">
        <v>0</v>
      </c>
      <c r="P53" s="692">
        <v>0</v>
      </c>
      <c r="Q53" s="692">
        <v>-18207.075142374691</v>
      </c>
      <c r="R53" s="698">
        <v>-184808.46575868092</v>
      </c>
      <c r="S53" s="756" t="s">
        <v>83</v>
      </c>
      <c r="T53" s="702">
        <v>-184808.46575868092</v>
      </c>
      <c r="U53" s="700"/>
      <c r="V53" s="701">
        <v>-166601.39061630622</v>
      </c>
      <c r="W53" s="700" t="s">
        <v>1678</v>
      </c>
    </row>
    <row r="54" spans="1:23" ht="25.5">
      <c r="A54" s="619" t="s">
        <v>1679</v>
      </c>
      <c r="B54" s="281" t="s">
        <v>1642</v>
      </c>
      <c r="C54" s="618" t="s">
        <v>1750</v>
      </c>
      <c r="D54" s="617">
        <v>2013</v>
      </c>
      <c r="E54" s="692">
        <v>0</v>
      </c>
      <c r="F54" s="693">
        <v>0</v>
      </c>
      <c r="G54" s="693">
        <v>0</v>
      </c>
      <c r="H54" s="694"/>
      <c r="I54" s="692">
        <v>-50678.150579323003</v>
      </c>
      <c r="J54" s="695">
        <v>349837.72163130424</v>
      </c>
      <c r="K54" s="695">
        <v>385249.45612900244</v>
      </c>
      <c r="L54" s="696">
        <v>-35411.734497698199</v>
      </c>
      <c r="M54" s="697"/>
      <c r="N54" s="697">
        <v>0</v>
      </c>
      <c r="O54" s="697">
        <v>0</v>
      </c>
      <c r="P54" s="692">
        <v>0</v>
      </c>
      <c r="Q54" s="692">
        <v>-9408.354881056508</v>
      </c>
      <c r="R54" s="698">
        <v>-95498.239958077713</v>
      </c>
      <c r="S54" s="756" t="s">
        <v>83</v>
      </c>
      <c r="T54" s="702">
        <v>-95498.239958077713</v>
      </c>
      <c r="U54" s="700"/>
      <c r="V54" s="701">
        <v>-86089.885077021201</v>
      </c>
      <c r="W54" s="700" t="s">
        <v>1679</v>
      </c>
    </row>
    <row r="55" spans="1:23" ht="25.5">
      <c r="A55" s="615" t="s">
        <v>1680</v>
      </c>
      <c r="B55" s="281" t="s">
        <v>1642</v>
      </c>
      <c r="C55" s="618" t="s">
        <v>1751</v>
      </c>
      <c r="D55" s="617">
        <v>2013</v>
      </c>
      <c r="E55" s="692">
        <v>0</v>
      </c>
      <c r="F55" s="693">
        <v>0</v>
      </c>
      <c r="G55" s="693">
        <v>0</v>
      </c>
      <c r="H55" s="694"/>
      <c r="I55" s="692">
        <v>-83384.362354463432</v>
      </c>
      <c r="J55" s="695">
        <v>566935.58675149851</v>
      </c>
      <c r="K55" s="695">
        <v>624322.68720974808</v>
      </c>
      <c r="L55" s="696">
        <v>-57387.100458249566</v>
      </c>
      <c r="M55" s="697"/>
      <c r="N55" s="697">
        <v>0</v>
      </c>
      <c r="O55" s="697">
        <v>0</v>
      </c>
      <c r="P55" s="692">
        <v>0</v>
      </c>
      <c r="Q55" s="692">
        <v>-15384.244944484941</v>
      </c>
      <c r="R55" s="698">
        <v>-156155.70775719793</v>
      </c>
      <c r="S55" s="756" t="s">
        <v>83</v>
      </c>
      <c r="T55" s="702">
        <v>-156155.70775719793</v>
      </c>
      <c r="U55" s="700"/>
      <c r="V55" s="701">
        <v>-140771.462812713</v>
      </c>
      <c r="W55" s="700" t="s">
        <v>1680</v>
      </c>
    </row>
    <row r="56" spans="1:23">
      <c r="A56" s="615" t="s">
        <v>1681</v>
      </c>
      <c r="B56" s="281" t="s">
        <v>1642</v>
      </c>
      <c r="C56" s="618" t="s">
        <v>1752</v>
      </c>
      <c r="D56" s="617">
        <v>2014</v>
      </c>
      <c r="E56" s="692">
        <v>0</v>
      </c>
      <c r="F56" s="693">
        <v>0</v>
      </c>
      <c r="G56" s="693">
        <v>0</v>
      </c>
      <c r="H56" s="694"/>
      <c r="I56" s="692">
        <v>-192080.70865839021</v>
      </c>
      <c r="J56" s="695">
        <v>1299754.9641099344</v>
      </c>
      <c r="K56" s="695">
        <v>1431320.4725019478</v>
      </c>
      <c r="L56" s="696">
        <v>-131565.50839201338</v>
      </c>
      <c r="M56" s="697"/>
      <c r="N56" s="697">
        <v>0</v>
      </c>
      <c r="O56" s="697">
        <v>0</v>
      </c>
      <c r="P56" s="692">
        <v>0</v>
      </c>
      <c r="Q56" s="692">
        <v>-35369.758749212146</v>
      </c>
      <c r="R56" s="698">
        <v>-359015.97579961573</v>
      </c>
      <c r="S56" s="756" t="s">
        <v>83</v>
      </c>
      <c r="T56" s="702">
        <v>-359015.97579961573</v>
      </c>
      <c r="U56" s="700"/>
      <c r="V56" s="701">
        <v>-323646.21705040359</v>
      </c>
      <c r="W56" s="700" t="s">
        <v>1681</v>
      </c>
    </row>
    <row r="57" spans="1:23">
      <c r="A57" s="615" t="s">
        <v>1682</v>
      </c>
      <c r="B57" s="281" t="s">
        <v>1642</v>
      </c>
      <c r="C57" s="618" t="s">
        <v>1753</v>
      </c>
      <c r="D57" s="617">
        <v>2014</v>
      </c>
      <c r="E57" s="692">
        <v>0</v>
      </c>
      <c r="F57" s="693">
        <v>0</v>
      </c>
      <c r="G57" s="693">
        <v>0</v>
      </c>
      <c r="H57" s="694"/>
      <c r="I57" s="692">
        <v>-98509.988345379126</v>
      </c>
      <c r="J57" s="695">
        <v>668375.24612271611</v>
      </c>
      <c r="K57" s="695">
        <v>736030.40534958604</v>
      </c>
      <c r="L57" s="696">
        <v>-67655.159226869931</v>
      </c>
      <c r="M57" s="697"/>
      <c r="N57" s="697">
        <v>0</v>
      </c>
      <c r="O57" s="697">
        <v>0</v>
      </c>
      <c r="P57" s="692">
        <v>0</v>
      </c>
      <c r="Q57" s="692">
        <v>-18159.400210886393</v>
      </c>
      <c r="R57" s="698">
        <v>-184324.54778313544</v>
      </c>
      <c r="S57" s="756" t="s">
        <v>83</v>
      </c>
      <c r="T57" s="702">
        <v>-184324.54778313544</v>
      </c>
      <c r="U57" s="700"/>
      <c r="V57" s="701">
        <v>-166165.14757224906</v>
      </c>
      <c r="W57" s="700" t="s">
        <v>1682</v>
      </c>
    </row>
    <row r="58" spans="1:23" ht="25.5">
      <c r="A58" s="615" t="s">
        <v>1683</v>
      </c>
      <c r="B58" s="281" t="s">
        <v>1642</v>
      </c>
      <c r="C58" s="618" t="s">
        <v>1754</v>
      </c>
      <c r="D58" s="617">
        <v>2014</v>
      </c>
      <c r="E58" s="692">
        <v>0</v>
      </c>
      <c r="F58" s="693">
        <v>0</v>
      </c>
      <c r="G58" s="693">
        <v>0</v>
      </c>
      <c r="H58" s="694"/>
      <c r="I58" s="692">
        <v>-106940.33147924079</v>
      </c>
      <c r="J58" s="695">
        <v>714348.21733343741</v>
      </c>
      <c r="K58" s="695">
        <v>786656.91318578343</v>
      </c>
      <c r="L58" s="696">
        <v>-72308.69585234602</v>
      </c>
      <c r="M58" s="697"/>
      <c r="N58" s="697">
        <v>0</v>
      </c>
      <c r="O58" s="697">
        <v>0</v>
      </c>
      <c r="P58" s="692">
        <v>0</v>
      </c>
      <c r="Q58" s="692">
        <v>-19589.275322077345</v>
      </c>
      <c r="R58" s="698">
        <v>-198838.30265366414</v>
      </c>
      <c r="S58" s="756" t="s">
        <v>83</v>
      </c>
      <c r="T58" s="702">
        <v>-198838.30265366414</v>
      </c>
      <c r="U58" s="700"/>
      <c r="V58" s="701">
        <v>-179249.02733158681</v>
      </c>
      <c r="W58" s="700" t="s">
        <v>1683</v>
      </c>
    </row>
    <row r="59" spans="1:23" ht="25.5">
      <c r="A59" s="615" t="s">
        <v>1684</v>
      </c>
      <c r="B59" s="281" t="s">
        <v>1642</v>
      </c>
      <c r="C59" s="618" t="s">
        <v>1755</v>
      </c>
      <c r="D59" s="617">
        <v>2014</v>
      </c>
      <c r="E59" s="692">
        <v>0</v>
      </c>
      <c r="F59" s="693">
        <v>0</v>
      </c>
      <c r="G59" s="693">
        <v>0</v>
      </c>
      <c r="H59" s="694"/>
      <c r="I59" s="692">
        <v>-300247.86135992454</v>
      </c>
      <c r="J59" s="695">
        <v>2022020.2137096231</v>
      </c>
      <c r="K59" s="695">
        <v>2226695.8062185608</v>
      </c>
      <c r="L59" s="696">
        <v>-204675.5925089377</v>
      </c>
      <c r="M59" s="697"/>
      <c r="N59" s="697">
        <v>0</v>
      </c>
      <c r="O59" s="697">
        <v>0</v>
      </c>
      <c r="P59" s="692">
        <v>0</v>
      </c>
      <c r="Q59" s="692">
        <v>-55180.687458427172</v>
      </c>
      <c r="R59" s="698">
        <v>-560104.1413272894</v>
      </c>
      <c r="S59" s="756" t="s">
        <v>83</v>
      </c>
      <c r="T59" s="702">
        <v>-560104.1413272894</v>
      </c>
      <c r="U59" s="700"/>
      <c r="V59" s="701">
        <v>-504923.45386886224</v>
      </c>
      <c r="W59" s="700" t="s">
        <v>1684</v>
      </c>
    </row>
    <row r="60" spans="1:23">
      <c r="A60" s="615" t="s">
        <v>1685</v>
      </c>
      <c r="B60" s="281" t="s">
        <v>1642</v>
      </c>
      <c r="C60" s="618" t="s">
        <v>1756</v>
      </c>
      <c r="D60" s="617">
        <v>2007</v>
      </c>
      <c r="E60" s="692">
        <v>0</v>
      </c>
      <c r="F60" s="693">
        <v>0</v>
      </c>
      <c r="G60" s="693">
        <v>0</v>
      </c>
      <c r="H60" s="694"/>
      <c r="I60" s="692">
        <v>46692.24846346816</v>
      </c>
      <c r="J60" s="695">
        <v>3627721.8872575639</v>
      </c>
      <c r="K60" s="695">
        <v>3994931.9288277584</v>
      </c>
      <c r="L60" s="696">
        <v>-367210.04157019453</v>
      </c>
      <c r="M60" s="697"/>
      <c r="N60" s="697">
        <v>0</v>
      </c>
      <c r="O60" s="697">
        <v>0</v>
      </c>
      <c r="P60" s="692">
        <v>0</v>
      </c>
      <c r="Q60" s="692">
        <v>-35027.868146684603</v>
      </c>
      <c r="R60" s="698">
        <v>-355545.66125341097</v>
      </c>
      <c r="S60" s="756" t="s">
        <v>83</v>
      </c>
      <c r="T60" s="702">
        <v>-355545.66125341097</v>
      </c>
      <c r="U60" s="700"/>
      <c r="V60" s="701">
        <v>-320517.79310672637</v>
      </c>
      <c r="W60" s="700" t="s">
        <v>1685</v>
      </c>
    </row>
    <row r="61" spans="1:23">
      <c r="A61" s="615" t="s">
        <v>1686</v>
      </c>
      <c r="B61" s="281" t="s">
        <v>1642</v>
      </c>
      <c r="C61" s="618" t="s">
        <v>1757</v>
      </c>
      <c r="D61" s="617">
        <v>2007</v>
      </c>
      <c r="E61" s="692">
        <v>0</v>
      </c>
      <c r="F61" s="693">
        <v>0</v>
      </c>
      <c r="G61" s="693">
        <v>0</v>
      </c>
      <c r="H61" s="694"/>
      <c r="I61" s="692">
        <v>9733.7004926799564</v>
      </c>
      <c r="J61" s="695">
        <v>328304.05177126743</v>
      </c>
      <c r="K61" s="695">
        <v>361536.07678455394</v>
      </c>
      <c r="L61" s="696">
        <v>-33232.025013286504</v>
      </c>
      <c r="M61" s="697"/>
      <c r="N61" s="697">
        <v>0</v>
      </c>
      <c r="O61" s="697">
        <v>0</v>
      </c>
      <c r="P61" s="692">
        <v>0</v>
      </c>
      <c r="Q61" s="692">
        <v>-2568.0203429509334</v>
      </c>
      <c r="R61" s="698">
        <v>-26066.344863557482</v>
      </c>
      <c r="S61" s="756" t="s">
        <v>83</v>
      </c>
      <c r="T61" s="702">
        <v>-26066.344863557482</v>
      </c>
      <c r="U61" s="700"/>
      <c r="V61" s="701">
        <v>-23498.324520606548</v>
      </c>
      <c r="W61" s="700" t="s">
        <v>1686</v>
      </c>
    </row>
    <row r="62" spans="1:23">
      <c r="A62" s="615" t="s">
        <v>1687</v>
      </c>
      <c r="B62" s="281" t="s">
        <v>1642</v>
      </c>
      <c r="C62" s="618" t="s">
        <v>1758</v>
      </c>
      <c r="D62" s="617">
        <v>2008</v>
      </c>
      <c r="E62" s="692">
        <v>0</v>
      </c>
      <c r="F62" s="693">
        <v>0</v>
      </c>
      <c r="G62" s="693">
        <v>0</v>
      </c>
      <c r="H62" s="694"/>
      <c r="I62" s="692">
        <v>998.39893794781528</v>
      </c>
      <c r="J62" s="695">
        <v>2047785.7590581211</v>
      </c>
      <c r="K62" s="695">
        <v>2255069.4255243638</v>
      </c>
      <c r="L62" s="696">
        <v>-207283.66646624263</v>
      </c>
      <c r="M62" s="697"/>
      <c r="N62" s="697">
        <v>0</v>
      </c>
      <c r="O62" s="697">
        <v>0</v>
      </c>
      <c r="P62" s="692">
        <v>0</v>
      </c>
      <c r="Q62" s="692">
        <v>-22543.937675181223</v>
      </c>
      <c r="R62" s="698">
        <v>-228829.20520347604</v>
      </c>
      <c r="S62" s="756" t="s">
        <v>83</v>
      </c>
      <c r="T62" s="702">
        <v>-228829.20520347604</v>
      </c>
      <c r="U62" s="700"/>
      <c r="V62" s="701">
        <v>-206285.26752829482</v>
      </c>
      <c r="W62" s="700" t="s">
        <v>1687</v>
      </c>
    </row>
    <row r="63" spans="1:23">
      <c r="A63" s="615" t="s">
        <v>1688</v>
      </c>
      <c r="B63" s="281" t="s">
        <v>1642</v>
      </c>
      <c r="C63" s="618" t="s">
        <v>1759</v>
      </c>
      <c r="D63" s="617">
        <v>2012</v>
      </c>
      <c r="E63" s="692">
        <v>0</v>
      </c>
      <c r="F63" s="693">
        <v>0</v>
      </c>
      <c r="G63" s="693">
        <v>0</v>
      </c>
      <c r="H63" s="694"/>
      <c r="I63" s="692">
        <v>-9069.2915726139618</v>
      </c>
      <c r="J63" s="695">
        <v>103911.32597474077</v>
      </c>
      <c r="K63" s="695">
        <v>114429.57503479875</v>
      </c>
      <c r="L63" s="696">
        <v>-10518.249060057977</v>
      </c>
      <c r="M63" s="697"/>
      <c r="N63" s="697">
        <v>0</v>
      </c>
      <c r="O63" s="697">
        <v>0</v>
      </c>
      <c r="P63" s="692">
        <v>0</v>
      </c>
      <c r="Q63" s="692">
        <v>-2140.6293358902485</v>
      </c>
      <c r="R63" s="698">
        <v>-21728.169968562186</v>
      </c>
      <c r="S63" s="756" t="s">
        <v>83</v>
      </c>
      <c r="T63" s="702">
        <v>-21728.169968562186</v>
      </c>
      <c r="U63" s="700"/>
      <c r="V63" s="701">
        <v>-19587.540632671939</v>
      </c>
      <c r="W63" s="700" t="s">
        <v>1688</v>
      </c>
    </row>
    <row r="64" spans="1:23">
      <c r="A64" s="615" t="s">
        <v>1689</v>
      </c>
      <c r="B64" s="281" t="s">
        <v>1642</v>
      </c>
      <c r="C64" s="618" t="s">
        <v>1760</v>
      </c>
      <c r="D64" s="617">
        <v>2010</v>
      </c>
      <c r="E64" s="692">
        <v>0</v>
      </c>
      <c r="F64" s="693">
        <v>0</v>
      </c>
      <c r="G64" s="693">
        <v>0</v>
      </c>
      <c r="H64" s="694"/>
      <c r="I64" s="692">
        <v>-897.08265368328648</v>
      </c>
      <c r="J64" s="695">
        <v>20616.553684806648</v>
      </c>
      <c r="K64" s="695">
        <v>22703.429628142843</v>
      </c>
      <c r="L64" s="696">
        <v>-2086.8759433361956</v>
      </c>
      <c r="M64" s="697"/>
      <c r="N64" s="697">
        <v>0</v>
      </c>
      <c r="O64" s="697">
        <v>0</v>
      </c>
      <c r="P64" s="692">
        <v>0</v>
      </c>
      <c r="Q64" s="692">
        <v>-326.10267055208584</v>
      </c>
      <c r="R64" s="698">
        <v>-3310.0612675715679</v>
      </c>
      <c r="S64" s="756" t="s">
        <v>83</v>
      </c>
      <c r="T64" s="702">
        <v>-3310.0612675715679</v>
      </c>
      <c r="U64" s="700"/>
      <c r="V64" s="701">
        <v>-2983.9585970194821</v>
      </c>
      <c r="W64" s="700" t="s">
        <v>1689</v>
      </c>
    </row>
    <row r="65" spans="1:23">
      <c r="A65" s="615" t="s">
        <v>1690</v>
      </c>
      <c r="B65" s="281" t="s">
        <v>1642</v>
      </c>
      <c r="C65" s="618" t="s">
        <v>1761</v>
      </c>
      <c r="D65" s="617">
        <v>2011</v>
      </c>
      <c r="E65" s="692">
        <v>0</v>
      </c>
      <c r="F65" s="693">
        <v>0</v>
      </c>
      <c r="G65" s="693">
        <v>0</v>
      </c>
      <c r="H65" s="694"/>
      <c r="I65" s="692">
        <v>-243.32923368834236</v>
      </c>
      <c r="J65" s="695">
        <v>3048.6682576507378</v>
      </c>
      <c r="K65" s="695">
        <v>3357.2645702726968</v>
      </c>
      <c r="L65" s="696">
        <v>-308.59631262195899</v>
      </c>
      <c r="M65" s="697"/>
      <c r="N65" s="697">
        <v>0</v>
      </c>
      <c r="O65" s="697">
        <v>0</v>
      </c>
      <c r="P65" s="692">
        <v>0</v>
      </c>
      <c r="Q65" s="692">
        <v>-60.317323027700532</v>
      </c>
      <c r="R65" s="698">
        <v>-612.24286933800192</v>
      </c>
      <c r="S65" s="756" t="s">
        <v>83</v>
      </c>
      <c r="T65" s="702">
        <v>-612.24286933800192</v>
      </c>
      <c r="U65" s="700"/>
      <c r="V65" s="701">
        <v>-551.92554631030134</v>
      </c>
      <c r="W65" s="700" t="s">
        <v>1690</v>
      </c>
    </row>
    <row r="66" spans="1:23">
      <c r="A66" s="615" t="s">
        <v>1691</v>
      </c>
      <c r="B66" s="281" t="s">
        <v>1642</v>
      </c>
      <c r="C66" s="618" t="s">
        <v>1762</v>
      </c>
      <c r="D66" s="617">
        <v>2015</v>
      </c>
      <c r="E66" s="692">
        <v>0</v>
      </c>
      <c r="F66" s="693">
        <v>0</v>
      </c>
      <c r="G66" s="693">
        <v>0</v>
      </c>
      <c r="H66" s="694"/>
      <c r="I66" s="692">
        <v>-302664.11915299995</v>
      </c>
      <c r="J66" s="695">
        <v>2249254.3853310528</v>
      </c>
      <c r="K66" s="695">
        <v>2476931.3743638997</v>
      </c>
      <c r="L66" s="696">
        <v>-227676.98903284688</v>
      </c>
      <c r="M66" s="697"/>
      <c r="N66" s="697">
        <v>0</v>
      </c>
      <c r="O66" s="697">
        <v>0</v>
      </c>
      <c r="P66" s="692">
        <v>0</v>
      </c>
      <c r="Q66" s="692">
        <v>-57958.462243981376</v>
      </c>
      <c r="R66" s="698">
        <v>-588299.57042982825</v>
      </c>
      <c r="S66" s="756" t="s">
        <v>83</v>
      </c>
      <c r="T66" s="702">
        <v>-588299.57042982825</v>
      </c>
      <c r="U66" s="700"/>
      <c r="V66" s="701">
        <v>-530341.10818584682</v>
      </c>
      <c r="W66" s="700" t="s">
        <v>1691</v>
      </c>
    </row>
    <row r="67" spans="1:23">
      <c r="A67" s="615" t="s">
        <v>1692</v>
      </c>
      <c r="B67" s="281" t="s">
        <v>1642</v>
      </c>
      <c r="C67" s="618" t="s">
        <v>1763</v>
      </c>
      <c r="D67" s="617">
        <v>2015</v>
      </c>
      <c r="E67" s="692">
        <v>0</v>
      </c>
      <c r="F67" s="693">
        <v>0</v>
      </c>
      <c r="G67" s="693">
        <v>0</v>
      </c>
      <c r="H67" s="694"/>
      <c r="I67" s="692">
        <v>-101225.62494469585</v>
      </c>
      <c r="J67" s="695">
        <v>768884.08231573657</v>
      </c>
      <c r="K67" s="695">
        <v>846713.07930184889</v>
      </c>
      <c r="L67" s="696">
        <v>-77828.996986112325</v>
      </c>
      <c r="M67" s="697"/>
      <c r="N67" s="697">
        <v>0</v>
      </c>
      <c r="O67" s="697">
        <v>0</v>
      </c>
      <c r="P67" s="692">
        <v>0</v>
      </c>
      <c r="Q67" s="692">
        <v>-19568.029678646843</v>
      </c>
      <c r="R67" s="698">
        <v>-198622.65160945503</v>
      </c>
      <c r="S67" s="756" t="s">
        <v>83</v>
      </c>
      <c r="T67" s="702">
        <v>-198622.65160945503</v>
      </c>
      <c r="U67" s="700"/>
      <c r="V67" s="701">
        <v>-179054.62193080818</v>
      </c>
      <c r="W67" s="700" t="s">
        <v>1692</v>
      </c>
    </row>
    <row r="68" spans="1:23">
      <c r="A68" s="615" t="s">
        <v>1693</v>
      </c>
      <c r="B68" s="281" t="s">
        <v>1642</v>
      </c>
      <c r="C68" s="618" t="s">
        <v>1764</v>
      </c>
      <c r="D68" s="617">
        <v>2015</v>
      </c>
      <c r="E68" s="692">
        <v>0</v>
      </c>
      <c r="F68" s="693">
        <v>0</v>
      </c>
      <c r="G68" s="693">
        <v>0</v>
      </c>
      <c r="H68" s="694"/>
      <c r="I68" s="692">
        <v>-246104.04277892597</v>
      </c>
      <c r="J68" s="695">
        <v>1681896.747948155</v>
      </c>
      <c r="K68" s="695">
        <v>1852143.9151580178</v>
      </c>
      <c r="L68" s="696">
        <v>-170247.16720986273</v>
      </c>
      <c r="M68" s="697"/>
      <c r="N68" s="697">
        <v>0</v>
      </c>
      <c r="O68" s="697">
        <v>0</v>
      </c>
      <c r="P68" s="692">
        <v>0</v>
      </c>
      <c r="Q68" s="692">
        <v>-45501.047367263382</v>
      </c>
      <c r="R68" s="698">
        <v>-461852.25735605205</v>
      </c>
      <c r="S68" s="756" t="s">
        <v>83</v>
      </c>
      <c r="T68" s="702">
        <v>-461852.25735605205</v>
      </c>
      <c r="U68" s="700"/>
      <c r="V68" s="701">
        <v>-416351.2099887887</v>
      </c>
      <c r="W68" s="700" t="s">
        <v>1693</v>
      </c>
    </row>
    <row r="69" spans="1:23">
      <c r="A69" s="615" t="s">
        <v>1694</v>
      </c>
      <c r="B69" s="281" t="s">
        <v>1642</v>
      </c>
      <c r="C69" s="618" t="s">
        <v>1765</v>
      </c>
      <c r="D69" s="617">
        <v>2015</v>
      </c>
      <c r="E69" s="692">
        <v>0</v>
      </c>
      <c r="F69" s="693">
        <v>0</v>
      </c>
      <c r="G69" s="693">
        <v>0</v>
      </c>
      <c r="H69" s="694"/>
      <c r="I69" s="692">
        <v>-118908.51877874974</v>
      </c>
      <c r="J69" s="695">
        <v>810403.58792643179</v>
      </c>
      <c r="K69" s="695">
        <v>892435.32697908184</v>
      </c>
      <c r="L69" s="696">
        <v>-82031.739052650053</v>
      </c>
      <c r="M69" s="697"/>
      <c r="N69" s="697">
        <v>0</v>
      </c>
      <c r="O69" s="697">
        <v>0</v>
      </c>
      <c r="P69" s="692">
        <v>0</v>
      </c>
      <c r="Q69" s="692">
        <v>-21959.806937568017</v>
      </c>
      <c r="R69" s="698">
        <v>-222900.0647689678</v>
      </c>
      <c r="S69" s="756" t="s">
        <v>83</v>
      </c>
      <c r="T69" s="702">
        <v>-222900.0647689678</v>
      </c>
      <c r="U69" s="700"/>
      <c r="V69" s="701">
        <v>-200940.25783139979</v>
      </c>
      <c r="W69" s="700" t="s">
        <v>1694</v>
      </c>
    </row>
    <row r="70" spans="1:23">
      <c r="A70" s="615" t="s">
        <v>1695</v>
      </c>
      <c r="B70" s="281" t="s">
        <v>1642</v>
      </c>
      <c r="C70" s="618" t="s">
        <v>1766</v>
      </c>
      <c r="D70" s="617">
        <v>2015</v>
      </c>
      <c r="E70" s="692">
        <v>0</v>
      </c>
      <c r="F70" s="693">
        <v>0</v>
      </c>
      <c r="G70" s="693">
        <v>0</v>
      </c>
      <c r="H70" s="694"/>
      <c r="I70" s="692">
        <v>-286989.87073082104</v>
      </c>
      <c r="J70" s="695">
        <v>1951557.8696874741</v>
      </c>
      <c r="K70" s="695">
        <v>2149101.0300305421</v>
      </c>
      <c r="L70" s="696">
        <v>-197543.16034306795</v>
      </c>
      <c r="M70" s="697"/>
      <c r="N70" s="697">
        <v>0</v>
      </c>
      <c r="O70" s="697">
        <v>0</v>
      </c>
      <c r="P70" s="692">
        <v>0</v>
      </c>
      <c r="Q70" s="692">
        <v>-52952.314942210425</v>
      </c>
      <c r="R70" s="698">
        <v>-537485.34601609944</v>
      </c>
      <c r="S70" s="756" t="s">
        <v>83</v>
      </c>
      <c r="T70" s="702">
        <v>-537485.34601609944</v>
      </c>
      <c r="U70" s="700"/>
      <c r="V70" s="701">
        <v>-484533.031073889</v>
      </c>
      <c r="W70" s="700" t="s">
        <v>1695</v>
      </c>
    </row>
    <row r="71" spans="1:23">
      <c r="A71" s="615" t="s">
        <v>1696</v>
      </c>
      <c r="B71" s="281" t="s">
        <v>1642</v>
      </c>
      <c r="C71" s="618" t="s">
        <v>1767</v>
      </c>
      <c r="D71" s="617">
        <v>2016</v>
      </c>
      <c r="E71" s="692">
        <v>0</v>
      </c>
      <c r="F71" s="693">
        <v>0</v>
      </c>
      <c r="G71" s="693">
        <v>0</v>
      </c>
      <c r="H71" s="694"/>
      <c r="I71" s="692">
        <v>-201273.90678748139</v>
      </c>
      <c r="J71" s="695">
        <v>1126521.6566446335</v>
      </c>
      <c r="K71" s="695">
        <v>1240551.9150884307</v>
      </c>
      <c r="L71" s="696">
        <v>-114030.25844379724</v>
      </c>
      <c r="M71" s="697"/>
      <c r="N71" s="697">
        <v>0</v>
      </c>
      <c r="O71" s="697">
        <v>0</v>
      </c>
      <c r="P71" s="692">
        <v>0</v>
      </c>
      <c r="Q71" s="692">
        <v>-34458.095504682628</v>
      </c>
      <c r="R71" s="698">
        <v>-349762.26073596126</v>
      </c>
      <c r="S71" s="756" t="s">
        <v>83</v>
      </c>
      <c r="T71" s="702">
        <v>-349762.26073596126</v>
      </c>
      <c r="U71" s="700"/>
      <c r="V71" s="701">
        <v>-315304.16523127863</v>
      </c>
      <c r="W71" s="700" t="s">
        <v>1696</v>
      </c>
    </row>
    <row r="72" spans="1:23">
      <c r="A72" s="615" t="s">
        <v>1697</v>
      </c>
      <c r="B72" s="281" t="s">
        <v>1642</v>
      </c>
      <c r="C72" s="618" t="s">
        <v>1768</v>
      </c>
      <c r="D72" s="617">
        <v>2016</v>
      </c>
      <c r="E72" s="692">
        <v>0</v>
      </c>
      <c r="F72" s="693">
        <v>0</v>
      </c>
      <c r="G72" s="693">
        <v>0</v>
      </c>
      <c r="H72" s="694"/>
      <c r="I72" s="692">
        <v>-32290.713727359776</v>
      </c>
      <c r="J72" s="695">
        <v>208075.09124340021</v>
      </c>
      <c r="K72" s="695">
        <v>229137.14210611736</v>
      </c>
      <c r="L72" s="696">
        <v>-21062.050862717151</v>
      </c>
      <c r="M72" s="697"/>
      <c r="N72" s="697">
        <v>0</v>
      </c>
      <c r="O72" s="697">
        <v>0</v>
      </c>
      <c r="P72" s="692">
        <v>0</v>
      </c>
      <c r="Q72" s="692">
        <v>-5830.6703824708775</v>
      </c>
      <c r="R72" s="698">
        <v>-59183.434972547802</v>
      </c>
      <c r="S72" s="756" t="s">
        <v>83</v>
      </c>
      <c r="T72" s="702">
        <v>-59183.434972547802</v>
      </c>
      <c r="U72" s="700"/>
      <c r="V72" s="701">
        <v>-53352.764590076928</v>
      </c>
      <c r="W72" s="700" t="s">
        <v>1697</v>
      </c>
    </row>
    <row r="73" spans="1:23">
      <c r="A73" s="615" t="s">
        <v>1698</v>
      </c>
      <c r="B73" s="281" t="s">
        <v>1642</v>
      </c>
      <c r="C73" s="618" t="s">
        <v>1769</v>
      </c>
      <c r="D73" s="617">
        <v>2016</v>
      </c>
      <c r="E73" s="692">
        <v>0</v>
      </c>
      <c r="F73" s="693">
        <v>0</v>
      </c>
      <c r="G73" s="693">
        <v>0</v>
      </c>
      <c r="H73" s="694"/>
      <c r="I73" s="692">
        <v>-26488.356917421916</v>
      </c>
      <c r="J73" s="695">
        <v>149019.92831592305</v>
      </c>
      <c r="K73" s="695">
        <v>164104.21971761185</v>
      </c>
      <c r="L73" s="696">
        <v>-15084.291401688795</v>
      </c>
      <c r="M73" s="697"/>
      <c r="N73" s="697">
        <v>0</v>
      </c>
      <c r="O73" s="697">
        <v>0</v>
      </c>
      <c r="P73" s="692">
        <v>0</v>
      </c>
      <c r="Q73" s="692">
        <v>-4543.2773941052674</v>
      </c>
      <c r="R73" s="698">
        <v>-46115.925713215976</v>
      </c>
      <c r="S73" s="756" t="s">
        <v>83</v>
      </c>
      <c r="T73" s="702">
        <v>-46115.925713215976</v>
      </c>
      <c r="U73" s="700"/>
      <c r="V73" s="701">
        <v>-41572.648319110711</v>
      </c>
      <c r="W73" s="700" t="s">
        <v>1698</v>
      </c>
    </row>
    <row r="74" spans="1:23">
      <c r="A74" s="615" t="s">
        <v>1699</v>
      </c>
      <c r="B74" s="281" t="s">
        <v>1642</v>
      </c>
      <c r="C74" s="618" t="s">
        <v>1770</v>
      </c>
      <c r="D74" s="617">
        <v>2016</v>
      </c>
      <c r="E74" s="692">
        <v>0</v>
      </c>
      <c r="F74" s="693">
        <v>0</v>
      </c>
      <c r="G74" s="693">
        <v>0</v>
      </c>
      <c r="H74" s="694"/>
      <c r="I74" s="692">
        <v>-503765.5951992739</v>
      </c>
      <c r="J74" s="695">
        <v>3046886.1405614214</v>
      </c>
      <c r="K74" s="695">
        <v>3355302.0613808152</v>
      </c>
      <c r="L74" s="696">
        <v>-308415.92081939382</v>
      </c>
      <c r="M74" s="697"/>
      <c r="N74" s="697">
        <v>0</v>
      </c>
      <c r="O74" s="697">
        <v>0</v>
      </c>
      <c r="P74" s="692">
        <v>0</v>
      </c>
      <c r="Q74" s="692">
        <v>-88759.462551282835</v>
      </c>
      <c r="R74" s="698">
        <v>-900940.97856995056</v>
      </c>
      <c r="S74" s="756" t="s">
        <v>83</v>
      </c>
      <c r="T74" s="702">
        <v>-900940.97856995056</v>
      </c>
      <c r="U74" s="700"/>
      <c r="V74" s="701">
        <v>-812181.51601866772</v>
      </c>
      <c r="W74" s="700" t="s">
        <v>1699</v>
      </c>
    </row>
    <row r="75" spans="1:23">
      <c r="A75" s="615" t="s">
        <v>1700</v>
      </c>
      <c r="B75" s="281" t="s">
        <v>1642</v>
      </c>
      <c r="C75" s="618" t="s">
        <v>1771</v>
      </c>
      <c r="D75" s="617">
        <v>2017</v>
      </c>
      <c r="E75" s="692">
        <v>0</v>
      </c>
      <c r="F75" s="693">
        <v>0</v>
      </c>
      <c r="G75" s="693">
        <v>0</v>
      </c>
      <c r="H75" s="694"/>
      <c r="I75" s="692">
        <v>-199869.32299516816</v>
      </c>
      <c r="J75" s="695">
        <v>2336555.057146972</v>
      </c>
      <c r="K75" s="695">
        <v>2573068.9097330128</v>
      </c>
      <c r="L75" s="696">
        <v>-236513.85258604074</v>
      </c>
      <c r="M75" s="697"/>
      <c r="N75" s="697">
        <v>0</v>
      </c>
      <c r="O75" s="697">
        <v>0</v>
      </c>
      <c r="P75" s="692">
        <v>0</v>
      </c>
      <c r="Q75" s="692">
        <v>-47690.245797369178</v>
      </c>
      <c r="R75" s="698">
        <v>-484073.42137857806</v>
      </c>
      <c r="S75" s="756" t="s">
        <v>83</v>
      </c>
      <c r="T75" s="702">
        <v>-484073.42137857806</v>
      </c>
      <c r="U75" s="700"/>
      <c r="V75" s="701">
        <v>-436383.1755812089</v>
      </c>
      <c r="W75" s="700" t="s">
        <v>1700</v>
      </c>
    </row>
    <row r="76" spans="1:23">
      <c r="A76" s="615" t="s">
        <v>1701</v>
      </c>
      <c r="B76" s="281" t="s">
        <v>1642</v>
      </c>
      <c r="C76" s="618" t="s">
        <v>1634</v>
      </c>
      <c r="D76" s="617">
        <v>2016</v>
      </c>
      <c r="E76" s="692">
        <v>0</v>
      </c>
      <c r="F76" s="693">
        <v>0</v>
      </c>
      <c r="G76" s="693">
        <v>0</v>
      </c>
      <c r="H76" s="694"/>
      <c r="I76" s="692">
        <v>-2457517.0111043807</v>
      </c>
      <c r="J76" s="695">
        <v>17023303.537640605</v>
      </c>
      <c r="K76" s="695">
        <v>18746458.783271823</v>
      </c>
      <c r="L76" s="696">
        <v>-1723155.245631218</v>
      </c>
      <c r="M76" s="697"/>
      <c r="N76" s="697">
        <v>0</v>
      </c>
      <c r="O76" s="697">
        <v>0</v>
      </c>
      <c r="P76" s="692">
        <v>0</v>
      </c>
      <c r="Q76" s="692">
        <v>-456885.82575718389</v>
      </c>
      <c r="R76" s="698">
        <v>-4637558.0824927827</v>
      </c>
      <c r="S76" s="756" t="s">
        <v>83</v>
      </c>
      <c r="T76" s="702">
        <v>-4637558.0824927827</v>
      </c>
      <c r="U76" s="700"/>
      <c r="V76" s="701">
        <v>-4180672.2567355987</v>
      </c>
      <c r="W76" s="700" t="s">
        <v>1701</v>
      </c>
    </row>
    <row r="77" spans="1:23">
      <c r="A77" s="615" t="s">
        <v>1702</v>
      </c>
      <c r="B77" s="281" t="s">
        <v>1642</v>
      </c>
      <c r="C77" s="618" t="s">
        <v>1772</v>
      </c>
      <c r="D77" s="617">
        <v>2017</v>
      </c>
      <c r="E77" s="692">
        <v>0</v>
      </c>
      <c r="F77" s="693">
        <v>0</v>
      </c>
      <c r="G77" s="693">
        <v>0</v>
      </c>
      <c r="H77" s="694"/>
      <c r="I77" s="692">
        <v>-1392216.644456286</v>
      </c>
      <c r="J77" s="695">
        <v>8808928.485670168</v>
      </c>
      <c r="K77" s="695">
        <v>9700597.4437492993</v>
      </c>
      <c r="L77" s="696">
        <v>-891668.95807913132</v>
      </c>
      <c r="M77" s="697"/>
      <c r="N77" s="697">
        <v>0</v>
      </c>
      <c r="O77" s="697">
        <v>0</v>
      </c>
      <c r="P77" s="692">
        <v>0</v>
      </c>
      <c r="Q77" s="692">
        <v>-249595.01615276485</v>
      </c>
      <c r="R77" s="698">
        <v>-2533480.618688182</v>
      </c>
      <c r="S77" s="756" t="s">
        <v>83</v>
      </c>
      <c r="T77" s="702">
        <v>-2533480.618688182</v>
      </c>
      <c r="U77" s="700"/>
      <c r="V77" s="701">
        <v>-2283885.6025354173</v>
      </c>
      <c r="W77" s="700" t="s">
        <v>1702</v>
      </c>
    </row>
    <row r="78" spans="1:23">
      <c r="A78" s="615" t="s">
        <v>1703</v>
      </c>
      <c r="B78" s="281" t="s">
        <v>1642</v>
      </c>
      <c r="C78" s="618" t="s">
        <v>1773</v>
      </c>
      <c r="D78" s="617">
        <v>2017</v>
      </c>
      <c r="E78" s="692">
        <v>0</v>
      </c>
      <c r="F78" s="693">
        <v>0</v>
      </c>
      <c r="G78" s="693">
        <v>0</v>
      </c>
      <c r="H78" s="694"/>
      <c r="I78" s="692">
        <v>-17636.102778324828</v>
      </c>
      <c r="J78" s="695">
        <v>175921.04307589805</v>
      </c>
      <c r="K78" s="695">
        <v>193728.35453708837</v>
      </c>
      <c r="L78" s="696">
        <v>-17807.311461190315</v>
      </c>
      <c r="M78" s="697"/>
      <c r="N78" s="697">
        <v>0</v>
      </c>
      <c r="O78" s="697">
        <v>0</v>
      </c>
      <c r="P78" s="692">
        <v>0</v>
      </c>
      <c r="Q78" s="692">
        <v>-3873.4424963317447</v>
      </c>
      <c r="R78" s="698">
        <v>-39316.856735846886</v>
      </c>
      <c r="S78" s="756" t="s">
        <v>83</v>
      </c>
      <c r="T78" s="702">
        <v>-39316.856735846886</v>
      </c>
      <c r="U78" s="700"/>
      <c r="V78" s="701">
        <v>-35443.414239515143</v>
      </c>
      <c r="W78" s="700" t="s">
        <v>1703</v>
      </c>
    </row>
    <row r="79" spans="1:23">
      <c r="A79" s="615" t="s">
        <v>1704</v>
      </c>
      <c r="B79" s="281" t="s">
        <v>1642</v>
      </c>
      <c r="C79" s="618" t="s">
        <v>1774</v>
      </c>
      <c r="D79" s="617">
        <v>2017</v>
      </c>
      <c r="E79" s="692">
        <v>0</v>
      </c>
      <c r="F79" s="693">
        <v>0</v>
      </c>
      <c r="G79" s="693">
        <v>0</v>
      </c>
      <c r="H79" s="694"/>
      <c r="I79" s="692">
        <v>-229968.57986533386</v>
      </c>
      <c r="J79" s="695">
        <v>825838.75669079332</v>
      </c>
      <c r="K79" s="695">
        <v>909432.89471992315</v>
      </c>
      <c r="L79" s="696">
        <v>-83594.138029129826</v>
      </c>
      <c r="M79" s="697"/>
      <c r="N79" s="697">
        <v>0</v>
      </c>
      <c r="O79" s="697">
        <v>0</v>
      </c>
      <c r="P79" s="692">
        <v>0</v>
      </c>
      <c r="Q79" s="692">
        <v>-34267.780991696949</v>
      </c>
      <c r="R79" s="698">
        <v>-347830.49888616061</v>
      </c>
      <c r="S79" s="756" t="s">
        <v>83</v>
      </c>
      <c r="T79" s="702">
        <v>-347830.49888616061</v>
      </c>
      <c r="U79" s="700"/>
      <c r="V79" s="701">
        <v>-313562.71789446368</v>
      </c>
      <c r="W79" s="700" t="s">
        <v>1704</v>
      </c>
    </row>
    <row r="80" spans="1:23">
      <c r="A80" s="615" t="s">
        <v>1705</v>
      </c>
      <c r="B80" s="281" t="s">
        <v>1642</v>
      </c>
      <c r="C80" s="618" t="s">
        <v>1775</v>
      </c>
      <c r="D80" s="617">
        <v>2017</v>
      </c>
      <c r="E80" s="692">
        <v>0</v>
      </c>
      <c r="F80" s="693">
        <v>0</v>
      </c>
      <c r="G80" s="693">
        <v>0</v>
      </c>
      <c r="H80" s="694"/>
      <c r="I80" s="692">
        <v>-201898.29328727257</v>
      </c>
      <c r="J80" s="695">
        <v>2379459.1627964582</v>
      </c>
      <c r="K80" s="695">
        <v>2620315.9112572954</v>
      </c>
      <c r="L80" s="696">
        <v>-240856.74846083717</v>
      </c>
      <c r="M80" s="697"/>
      <c r="N80" s="697">
        <v>0</v>
      </c>
      <c r="O80" s="697">
        <v>0</v>
      </c>
      <c r="P80" s="692">
        <v>0</v>
      </c>
      <c r="Q80" s="692">
        <v>-48386.596804217043</v>
      </c>
      <c r="R80" s="698">
        <v>-491141.63855232677</v>
      </c>
      <c r="S80" s="756" t="s">
        <v>83</v>
      </c>
      <c r="T80" s="702">
        <v>-491141.63855232677</v>
      </c>
      <c r="U80" s="700"/>
      <c r="V80" s="701">
        <v>-442755.04174810974</v>
      </c>
      <c r="W80" s="700" t="s">
        <v>1705</v>
      </c>
    </row>
    <row r="81" spans="1:23">
      <c r="A81" s="615" t="s">
        <v>1706</v>
      </c>
      <c r="B81" s="281" t="s">
        <v>1642</v>
      </c>
      <c r="C81" s="618" t="s">
        <v>1776</v>
      </c>
      <c r="D81" s="617">
        <v>2017</v>
      </c>
      <c r="E81" s="692">
        <v>0</v>
      </c>
      <c r="F81" s="693">
        <v>0</v>
      </c>
      <c r="G81" s="693">
        <v>0</v>
      </c>
      <c r="H81" s="694"/>
      <c r="I81" s="692">
        <v>30055.900222624477</v>
      </c>
      <c r="J81" s="695">
        <v>275129.65114880283</v>
      </c>
      <c r="K81" s="695">
        <v>302979.18696642324</v>
      </c>
      <c r="L81" s="696">
        <v>-27849.535817620403</v>
      </c>
      <c r="M81" s="697"/>
      <c r="N81" s="697">
        <v>0</v>
      </c>
      <c r="O81" s="697">
        <v>0</v>
      </c>
      <c r="P81" s="692">
        <v>0</v>
      </c>
      <c r="Q81" s="692">
        <v>241.12309245897859</v>
      </c>
      <c r="R81" s="698">
        <v>2447.4874974630534</v>
      </c>
      <c r="S81" s="756" t="s">
        <v>83</v>
      </c>
      <c r="T81" s="702">
        <v>2447.4874974630534</v>
      </c>
      <c r="U81" s="700"/>
      <c r="V81" s="701">
        <v>2206.3644050040748</v>
      </c>
      <c r="W81" s="700" t="s">
        <v>1706</v>
      </c>
    </row>
    <row r="82" spans="1:23">
      <c r="A82" s="615" t="s">
        <v>1707</v>
      </c>
      <c r="B82" s="281" t="s">
        <v>1642</v>
      </c>
      <c r="C82" s="618" t="s">
        <v>1777</v>
      </c>
      <c r="D82" s="617">
        <v>2017</v>
      </c>
      <c r="E82" s="692">
        <v>0</v>
      </c>
      <c r="F82" s="693">
        <v>0</v>
      </c>
      <c r="G82" s="693">
        <v>0</v>
      </c>
      <c r="H82" s="694"/>
      <c r="I82" s="692">
        <v>-137699.06042668514</v>
      </c>
      <c r="J82" s="695">
        <v>963328.6150577974</v>
      </c>
      <c r="K82" s="695">
        <v>1060839.9325663594</v>
      </c>
      <c r="L82" s="696">
        <v>-97511.317508562002</v>
      </c>
      <c r="M82" s="697"/>
      <c r="N82" s="697">
        <v>0</v>
      </c>
      <c r="O82" s="697">
        <v>0</v>
      </c>
      <c r="P82" s="692">
        <v>0</v>
      </c>
      <c r="Q82" s="692">
        <v>-25705.025687308054</v>
      </c>
      <c r="R82" s="698">
        <v>-260915.4036225552</v>
      </c>
      <c r="S82" s="756" t="s">
        <v>83</v>
      </c>
      <c r="T82" s="702">
        <v>-260915.4036225552</v>
      </c>
      <c r="U82" s="700"/>
      <c r="V82" s="701">
        <v>-235210.37793524715</v>
      </c>
      <c r="W82" s="700" t="s">
        <v>1707</v>
      </c>
    </row>
    <row r="83" spans="1:23">
      <c r="A83" s="615" t="s">
        <v>1708</v>
      </c>
      <c r="B83" s="281" t="s">
        <v>1642</v>
      </c>
      <c r="C83" s="618" t="s">
        <v>1778</v>
      </c>
      <c r="D83" s="617">
        <v>2017</v>
      </c>
      <c r="E83" s="692">
        <v>0</v>
      </c>
      <c r="F83" s="693">
        <v>0</v>
      </c>
      <c r="G83" s="693">
        <v>0</v>
      </c>
      <c r="H83" s="694"/>
      <c r="I83" s="692">
        <v>-12381.734935156768</v>
      </c>
      <c r="J83" s="695">
        <v>1359929.3750502607</v>
      </c>
      <c r="K83" s="695">
        <v>1497585.9368993966</v>
      </c>
      <c r="L83" s="696">
        <v>-137656.56184913591</v>
      </c>
      <c r="M83" s="697"/>
      <c r="N83" s="697">
        <v>0</v>
      </c>
      <c r="O83" s="697">
        <v>0</v>
      </c>
      <c r="P83" s="692">
        <v>0</v>
      </c>
      <c r="Q83" s="692">
        <v>-16396.973240619271</v>
      </c>
      <c r="R83" s="698">
        <v>-166435.27002491194</v>
      </c>
      <c r="S83" s="756" t="s">
        <v>83</v>
      </c>
      <c r="T83" s="702">
        <v>-166435.27002491194</v>
      </c>
      <c r="U83" s="700"/>
      <c r="V83" s="701">
        <v>-150038.29678429267</v>
      </c>
      <c r="W83" s="700" t="s">
        <v>1708</v>
      </c>
    </row>
    <row r="84" spans="1:23">
      <c r="A84" s="615" t="s">
        <v>1709</v>
      </c>
      <c r="B84" s="281" t="s">
        <v>1642</v>
      </c>
      <c r="C84" s="618" t="s">
        <v>1779</v>
      </c>
      <c r="D84" s="617">
        <v>2018</v>
      </c>
      <c r="E84" s="692">
        <v>0</v>
      </c>
      <c r="F84" s="693">
        <v>0</v>
      </c>
      <c r="G84" s="693">
        <v>0</v>
      </c>
      <c r="H84" s="694"/>
      <c r="I84" s="692">
        <v>-158314.84805330483</v>
      </c>
      <c r="J84" s="695">
        <v>748027.48799327505</v>
      </c>
      <c r="K84" s="695">
        <v>823745.31132655998</v>
      </c>
      <c r="L84" s="696">
        <v>-75717.823333284934</v>
      </c>
      <c r="M84" s="697"/>
      <c r="N84" s="697">
        <v>0</v>
      </c>
      <c r="O84" s="697">
        <v>0</v>
      </c>
      <c r="P84" s="692">
        <v>0</v>
      </c>
      <c r="Q84" s="692">
        <v>-25576.319729045947</v>
      </c>
      <c r="R84" s="698">
        <v>-259608.9911156357</v>
      </c>
      <c r="S84" s="756" t="s">
        <v>83</v>
      </c>
      <c r="T84" s="702">
        <v>-259608.9911156357</v>
      </c>
      <c r="U84" s="700"/>
      <c r="V84" s="701">
        <v>-234032.67138658976</v>
      </c>
      <c r="W84" s="700" t="s">
        <v>1709</v>
      </c>
    </row>
    <row r="85" spans="1:23">
      <c r="A85" s="615" t="s">
        <v>1710</v>
      </c>
      <c r="B85" s="281" t="s">
        <v>1642</v>
      </c>
      <c r="C85" s="618" t="s">
        <v>1780</v>
      </c>
      <c r="D85" s="617">
        <v>2018</v>
      </c>
      <c r="E85" s="692">
        <v>0</v>
      </c>
      <c r="F85" s="693">
        <v>0</v>
      </c>
      <c r="G85" s="693">
        <v>0</v>
      </c>
      <c r="H85" s="694"/>
      <c r="I85" s="692">
        <v>-214029.69692026218</v>
      </c>
      <c r="J85" s="695">
        <v>738358.52480493963</v>
      </c>
      <c r="K85" s="695">
        <v>813097.62361504615</v>
      </c>
      <c r="L85" s="696">
        <v>-74739.098810106516</v>
      </c>
      <c r="M85" s="697"/>
      <c r="N85" s="697">
        <v>0</v>
      </c>
      <c r="O85" s="697">
        <v>0</v>
      </c>
      <c r="P85" s="692">
        <v>0</v>
      </c>
      <c r="Q85" s="692">
        <v>-31558.170932345602</v>
      </c>
      <c r="R85" s="698">
        <v>-320326.96666271432</v>
      </c>
      <c r="S85" s="756" t="s">
        <v>83</v>
      </c>
      <c r="T85" s="702">
        <v>-320326.96666271432</v>
      </c>
      <c r="U85" s="700"/>
      <c r="V85" s="701">
        <v>-288768.7957303687</v>
      </c>
      <c r="W85" s="700" t="s">
        <v>1710</v>
      </c>
    </row>
    <row r="86" spans="1:23">
      <c r="A86" s="615" t="s">
        <v>1711</v>
      </c>
      <c r="B86" s="281" t="s">
        <v>1642</v>
      </c>
      <c r="C86" s="618" t="s">
        <v>1781</v>
      </c>
      <c r="D86" s="617">
        <v>2018</v>
      </c>
      <c r="E86" s="692">
        <v>0</v>
      </c>
      <c r="F86" s="693">
        <v>0</v>
      </c>
      <c r="G86" s="693">
        <v>0</v>
      </c>
      <c r="H86" s="694"/>
      <c r="I86" s="692">
        <v>-211182.23110016185</v>
      </c>
      <c r="J86" s="695">
        <v>591116.43032923993</v>
      </c>
      <c r="K86" s="695">
        <v>650951.19597554428</v>
      </c>
      <c r="L86" s="696">
        <v>-59834.765646304353</v>
      </c>
      <c r="M86" s="697"/>
      <c r="N86" s="697">
        <v>0</v>
      </c>
      <c r="O86" s="697">
        <v>0</v>
      </c>
      <c r="P86" s="692">
        <v>0</v>
      </c>
      <c r="Q86" s="692">
        <v>-29618.16108719003</v>
      </c>
      <c r="R86" s="698">
        <v>-300635.15783365624</v>
      </c>
      <c r="S86" s="756" t="s">
        <v>83</v>
      </c>
      <c r="T86" s="702">
        <v>-300635.15783365624</v>
      </c>
      <c r="U86" s="700"/>
      <c r="V86" s="701">
        <v>-271016.9967464662</v>
      </c>
      <c r="W86" s="700" t="s">
        <v>1711</v>
      </c>
    </row>
    <row r="87" spans="1:23">
      <c r="A87" s="615" t="s">
        <v>1712</v>
      </c>
      <c r="B87" s="281" t="s">
        <v>1642</v>
      </c>
      <c r="C87" s="618" t="s">
        <v>1782</v>
      </c>
      <c r="D87" s="617">
        <v>2018</v>
      </c>
      <c r="E87" s="692">
        <v>0</v>
      </c>
      <c r="F87" s="693">
        <v>0</v>
      </c>
      <c r="G87" s="693">
        <v>0</v>
      </c>
      <c r="H87" s="694"/>
      <c r="I87" s="692">
        <v>9529.1301757203473</v>
      </c>
      <c r="J87" s="695">
        <v>79688.000028018621</v>
      </c>
      <c r="K87" s="695">
        <v>87754.283693731399</v>
      </c>
      <c r="L87" s="696">
        <v>-8066.2836657127773</v>
      </c>
      <c r="M87" s="697"/>
      <c r="N87" s="697">
        <v>0</v>
      </c>
      <c r="O87" s="697">
        <v>0</v>
      </c>
      <c r="P87" s="692">
        <v>0</v>
      </c>
      <c r="Q87" s="692">
        <v>159.8675511107142</v>
      </c>
      <c r="R87" s="698">
        <v>1622.7140611182842</v>
      </c>
      <c r="S87" s="756" t="s">
        <v>83</v>
      </c>
      <c r="T87" s="702">
        <v>1622.7140611182842</v>
      </c>
      <c r="U87" s="700"/>
      <c r="V87" s="701">
        <v>1462.84651000757</v>
      </c>
      <c r="W87" s="700" t="s">
        <v>1712</v>
      </c>
    </row>
    <row r="88" spans="1:23">
      <c r="A88" s="566"/>
      <c r="B88" s="567"/>
      <c r="C88" s="568"/>
      <c r="D88" s="545"/>
      <c r="E88" s="696"/>
      <c r="F88" s="697"/>
      <c r="G88" s="697">
        <f t="shared" ref="G88:G89" si="0">+E88+F88</f>
        <v>0</v>
      </c>
      <c r="H88" s="706"/>
      <c r="I88" s="696"/>
      <c r="J88" s="696"/>
      <c r="K88" s="696"/>
      <c r="L88" s="696"/>
      <c r="M88" s="697">
        <v>0</v>
      </c>
      <c r="N88" s="697">
        <v>0</v>
      </c>
      <c r="O88" s="697">
        <f t="shared" ref="O88:O89" si="1">+M88-N88</f>
        <v>0</v>
      </c>
      <c r="P88" s="696"/>
      <c r="Q88" s="696"/>
      <c r="R88" s="711">
        <f t="shared" ref="R88:R89" si="2">K88+O88+P88+Q88</f>
        <v>0</v>
      </c>
      <c r="S88" s="711"/>
      <c r="T88" s="713">
        <f t="shared" ref="T88:T89" si="3">+G88+R88</f>
        <v>0</v>
      </c>
      <c r="U88" s="700"/>
      <c r="V88" s="701">
        <f t="shared" ref="V88:V89" si="4">+K88+O88+P88</f>
        <v>0</v>
      </c>
      <c r="W88" s="700">
        <f t="shared" ref="W88:W89" si="5">A88</f>
        <v>0</v>
      </c>
    </row>
    <row r="89" spans="1:23">
      <c r="A89" s="566"/>
      <c r="B89" s="567"/>
      <c r="C89" s="568"/>
      <c r="D89" s="545"/>
      <c r="E89" s="696"/>
      <c r="F89" s="697"/>
      <c r="G89" s="697">
        <f t="shared" si="0"/>
        <v>0</v>
      </c>
      <c r="H89" s="706"/>
      <c r="I89" s="696"/>
      <c r="J89" s="696"/>
      <c r="K89" s="696"/>
      <c r="L89" s="696"/>
      <c r="M89" s="697">
        <v>0</v>
      </c>
      <c r="N89" s="697">
        <v>0</v>
      </c>
      <c r="O89" s="697">
        <f t="shared" si="1"/>
        <v>0</v>
      </c>
      <c r="P89" s="696"/>
      <c r="Q89" s="696"/>
      <c r="R89" s="711">
        <f t="shared" si="2"/>
        <v>0</v>
      </c>
      <c r="S89" s="711"/>
      <c r="T89" s="713">
        <f t="shared" si="3"/>
        <v>0</v>
      </c>
      <c r="U89" s="700"/>
      <c r="V89" s="701">
        <f t="shared" si="4"/>
        <v>0</v>
      </c>
      <c r="W89" s="700">
        <f t="shared" si="5"/>
        <v>0</v>
      </c>
    </row>
    <row r="90" spans="1:23" ht="17.25" customHeight="1">
      <c r="A90" s="569"/>
      <c r="B90" s="567"/>
      <c r="C90" s="568"/>
      <c r="D90" s="545"/>
      <c r="E90" s="696"/>
      <c r="F90" s="697"/>
      <c r="G90" s="697"/>
      <c r="H90" s="706"/>
      <c r="I90" s="714"/>
      <c r="J90" s="714"/>
      <c r="K90" s="696"/>
      <c r="L90" s="696"/>
      <c r="M90" s="697"/>
      <c r="N90" s="697"/>
      <c r="O90" s="697"/>
      <c r="P90" s="697"/>
      <c r="Q90" s="696"/>
      <c r="R90" s="711"/>
      <c r="S90" s="712"/>
      <c r="T90" s="713"/>
      <c r="U90" s="700"/>
      <c r="V90" s="701"/>
      <c r="W90" s="700"/>
    </row>
    <row r="91" spans="1:23">
      <c r="A91" s="570"/>
      <c r="B91" s="571"/>
      <c r="C91" s="571"/>
      <c r="D91" s="567"/>
      <c r="E91" s="715"/>
      <c r="F91" s="715"/>
      <c r="G91" s="715"/>
      <c r="H91" s="711"/>
      <c r="I91" s="716"/>
      <c r="J91" s="716"/>
      <c r="K91" s="715"/>
      <c r="L91" s="715"/>
      <c r="M91" s="715"/>
      <c r="N91" s="715"/>
      <c r="O91" s="715"/>
      <c r="P91" s="715"/>
      <c r="Q91" s="715"/>
      <c r="R91" s="715"/>
      <c r="S91" s="711"/>
      <c r="T91" s="717"/>
      <c r="U91" s="700"/>
      <c r="V91" s="718"/>
      <c r="W91" s="700"/>
    </row>
    <row r="92" spans="1:23" ht="13.5" thickBot="1">
      <c r="A92" s="572"/>
      <c r="B92" s="573"/>
      <c r="C92" s="574" t="s">
        <v>571</v>
      </c>
      <c r="D92" s="575"/>
      <c r="E92" s="719">
        <f>SUM(E17:E91)</f>
        <v>0</v>
      </c>
      <c r="F92" s="719">
        <f>SUM(F17:F91)</f>
        <v>0</v>
      </c>
      <c r="G92" s="719">
        <f>SUM(G17:G91)</f>
        <v>0</v>
      </c>
      <c r="H92" s="719"/>
      <c r="I92" s="720">
        <f>SUM(I17:I91)</f>
        <v>-12815702.18202848</v>
      </c>
      <c r="J92" s="720">
        <f>SUM(J17:J91)</f>
        <v>94682688.503589243</v>
      </c>
      <c r="K92" s="719">
        <f>SUM(K17:K91)</f>
        <v>104266784.26999997</v>
      </c>
      <c r="L92" s="719"/>
      <c r="M92" s="719">
        <f>SUM(M17:M91)</f>
        <v>0</v>
      </c>
      <c r="N92" s="719">
        <f>SUM(N17:N91)</f>
        <v>0</v>
      </c>
      <c r="O92" s="719">
        <f>SUM(O17:O91)</f>
        <v>0</v>
      </c>
      <c r="P92" s="721"/>
      <c r="Q92" s="721"/>
      <c r="R92" s="719">
        <f>SUM(R17:R91)</f>
        <v>-24847765.536900189</v>
      </c>
      <c r="S92" s="719"/>
      <c r="T92" s="722">
        <f>SUM(T17:T91)</f>
        <v>-24847765.536900189</v>
      </c>
      <c r="U92" s="700"/>
      <c r="V92" s="723">
        <f>SUM(V17:V91)</f>
        <v>-22399797.948439222</v>
      </c>
      <c r="W92" s="724"/>
    </row>
    <row r="93" spans="1:23" ht="13.5" thickBot="1">
      <c r="A93" s="282"/>
      <c r="B93" s="282"/>
      <c r="C93" s="576"/>
      <c r="D93" s="282"/>
      <c r="E93" s="725"/>
      <c r="F93" s="726"/>
      <c r="G93" s="726"/>
      <c r="H93" s="727"/>
      <c r="I93" s="728"/>
      <c r="J93" s="729"/>
      <c r="K93" s="730"/>
      <c r="L93" s="730"/>
      <c r="M93" s="730"/>
      <c r="N93" s="730"/>
      <c r="O93" s="730"/>
      <c r="P93" s="730"/>
      <c r="Q93" s="731"/>
      <c r="R93" s="726"/>
      <c r="S93" s="726"/>
      <c r="T93" s="726"/>
      <c r="U93" s="700"/>
      <c r="V93" s="732"/>
      <c r="W93" s="724"/>
    </row>
    <row r="94" spans="1:23">
      <c r="A94" s="282"/>
      <c r="B94" s="282"/>
      <c r="C94" s="579" t="s">
        <v>1088</v>
      </c>
      <c r="D94" s="282"/>
      <c r="E94" s="577"/>
      <c r="F94" s="577"/>
      <c r="G94" s="577"/>
      <c r="H94" s="282"/>
      <c r="I94" s="580"/>
      <c r="J94" s="581"/>
      <c r="K94" s="282"/>
      <c r="L94" s="282"/>
      <c r="M94" s="578"/>
      <c r="N94" s="578"/>
      <c r="O94" s="578"/>
      <c r="P94" s="578"/>
      <c r="Q94" s="578"/>
      <c r="R94" s="577"/>
      <c r="S94" s="577"/>
      <c r="T94" s="577"/>
    </row>
    <row r="95" spans="1:23">
      <c r="A95" s="282"/>
      <c r="B95" s="282"/>
      <c r="C95" s="579"/>
      <c r="D95" s="282"/>
      <c r="E95" s="577"/>
      <c r="F95" s="577"/>
      <c r="G95" s="577"/>
      <c r="H95" s="282"/>
      <c r="I95" s="582"/>
      <c r="J95" s="583"/>
      <c r="K95" s="282"/>
      <c r="L95" s="282"/>
      <c r="M95" s="578"/>
      <c r="N95" s="578"/>
      <c r="O95" s="578"/>
      <c r="P95" s="578"/>
      <c r="Q95" s="584"/>
      <c r="R95" s="578"/>
      <c r="S95" s="282"/>
      <c r="T95" s="282"/>
    </row>
    <row r="96" spans="1:23">
      <c r="E96" s="585"/>
      <c r="F96" s="585"/>
      <c r="G96" s="585"/>
      <c r="I96" s="239"/>
      <c r="J96" s="586"/>
      <c r="M96" s="587"/>
      <c r="N96" s="587"/>
      <c r="O96" s="587"/>
      <c r="P96" s="587"/>
      <c r="Q96" s="587"/>
      <c r="R96" s="587"/>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18" zoomScale="70" zoomScaleNormal="70" zoomScaleSheetLayoutView="80" workbookViewId="0">
      <selection activeCell="E41" sqref="E41"/>
    </sheetView>
  </sheetViews>
  <sheetFormatPr defaultColWidth="9.140625" defaultRowHeight="12.75"/>
  <cols>
    <col min="1" max="1" width="9.140625" style="1170"/>
    <col min="2" max="2" width="47.85546875" style="1158" customWidth="1"/>
    <col min="3" max="3" width="38.42578125" style="1158" customWidth="1"/>
    <col min="4" max="4" width="18.42578125" style="1158" customWidth="1"/>
    <col min="5" max="5" width="14.140625" style="1158" customWidth="1"/>
    <col min="6" max="6" width="15.140625" style="1158" customWidth="1"/>
    <col min="7" max="7" width="14.28515625" style="1158" customWidth="1"/>
    <col min="8" max="9" width="12.85546875" style="1158" customWidth="1"/>
    <col min="10" max="16384" width="9.140625" style="1158"/>
  </cols>
  <sheetData>
    <row r="1" spans="1:12" ht="15">
      <c r="A1" s="1157"/>
    </row>
    <row r="3" spans="1:12" s="1163" customFormat="1" ht="15">
      <c r="A3" s="1160"/>
      <c r="B3" s="2468" t="str">
        <f>+'SWEPCO TCOS'!F4</f>
        <v xml:space="preserve">AEP West SPP Member Operating Companies </v>
      </c>
      <c r="C3" s="2468"/>
      <c r="D3" s="2468"/>
      <c r="E3" s="2468"/>
      <c r="F3" s="2468"/>
      <c r="G3" s="2468"/>
      <c r="H3" s="2468"/>
      <c r="I3" s="2468"/>
      <c r="J3" s="1161"/>
      <c r="K3" s="1161"/>
      <c r="L3" s="1161"/>
    </row>
    <row r="4" spans="1:12" s="1163" customFormat="1" ht="15">
      <c r="A4" s="1160"/>
      <c r="B4" s="2469" t="str">
        <f>+'SWEPCO WS A-1 - Plant'!A3</f>
        <v xml:space="preserve">Actual / Projected 2018 Rate Year Cost of Service Formula Rate </v>
      </c>
      <c r="C4" s="2469"/>
      <c r="D4" s="2469"/>
      <c r="E4" s="2469"/>
      <c r="F4" s="2469"/>
      <c r="G4" s="2469"/>
      <c r="H4" s="2469"/>
      <c r="I4" s="2469"/>
      <c r="J4" s="1164"/>
      <c r="K4" s="1164"/>
      <c r="L4" s="1164"/>
    </row>
    <row r="5" spans="1:12" s="1163" customFormat="1" ht="15.75">
      <c r="A5" s="1160"/>
      <c r="B5" s="2470" t="s">
        <v>1339</v>
      </c>
      <c r="C5" s="2470"/>
      <c r="D5" s="2470"/>
      <c r="E5" s="2470"/>
      <c r="F5" s="2470"/>
      <c r="G5" s="2470"/>
      <c r="H5" s="2470"/>
      <c r="I5" s="2470"/>
      <c r="J5" s="1166"/>
      <c r="K5" s="1166"/>
      <c r="L5" s="1166"/>
    </row>
    <row r="6" spans="1:12" s="1163" customFormat="1" ht="15.75">
      <c r="A6" s="1160"/>
      <c r="B6" s="2471" t="str">
        <f>+'SWEPCO TCOS'!F8</f>
        <v>SOUTHWESTERN ELECTRIC POWER COMPANY</v>
      </c>
      <c r="C6" s="2471"/>
      <c r="D6" s="2471"/>
      <c r="E6" s="2471"/>
      <c r="F6" s="2471"/>
      <c r="G6" s="2471"/>
      <c r="H6" s="2471"/>
      <c r="I6" s="2471"/>
      <c r="J6" s="1168"/>
      <c r="K6" s="1168"/>
      <c r="L6" s="1168"/>
    </row>
    <row r="8" spans="1:12">
      <c r="B8" s="1158" t="s">
        <v>1255</v>
      </c>
    </row>
    <row r="9" spans="1:12" ht="25.5" customHeight="1">
      <c r="B9" s="2467" t="s">
        <v>1256</v>
      </c>
      <c r="C9" s="2467"/>
      <c r="D9" s="2467"/>
      <c r="E9" s="2467"/>
      <c r="F9" s="2467"/>
      <c r="G9" s="2467"/>
      <c r="H9" s="2467"/>
      <c r="I9" s="2467"/>
    </row>
    <row r="11" spans="1:12">
      <c r="B11" s="1171" t="s">
        <v>303</v>
      </c>
      <c r="C11" s="1172" t="s">
        <v>304</v>
      </c>
      <c r="D11" s="1172"/>
      <c r="E11" s="1172" t="s">
        <v>305</v>
      </c>
      <c r="F11" s="1172" t="s">
        <v>306</v>
      </c>
      <c r="G11" s="1172" t="s">
        <v>231</v>
      </c>
      <c r="H11" s="1172" t="s">
        <v>232</v>
      </c>
      <c r="I11" s="1172" t="s">
        <v>233</v>
      </c>
    </row>
    <row r="12" spans="1:12">
      <c r="A12" s="1173" t="s">
        <v>310</v>
      </c>
    </row>
    <row r="13" spans="1:12">
      <c r="A13" s="1174"/>
      <c r="E13" s="2472" t="s">
        <v>1251</v>
      </c>
      <c r="F13" s="2472"/>
      <c r="G13" s="2472"/>
      <c r="H13" s="2472"/>
      <c r="I13" s="2472"/>
    </row>
    <row r="14" spans="1:12" ht="15">
      <c r="A14" s="1174"/>
      <c r="B14" s="1175" t="s">
        <v>1252</v>
      </c>
      <c r="C14" s="1176" t="s">
        <v>347</v>
      </c>
      <c r="D14" s="1176" t="s">
        <v>260</v>
      </c>
      <c r="E14" s="1177">
        <v>1901001</v>
      </c>
      <c r="F14" s="1177">
        <v>2821001</v>
      </c>
      <c r="G14" s="1177">
        <v>2831001</v>
      </c>
      <c r="H14" s="1177" t="s">
        <v>1254</v>
      </c>
      <c r="I14" s="1177" t="s">
        <v>1254</v>
      </c>
    </row>
    <row r="15" spans="1:12" ht="25.5">
      <c r="A15" s="1174">
        <v>1</v>
      </c>
      <c r="B15" s="1178" t="s">
        <v>1286</v>
      </c>
      <c r="C15" s="1170" t="s">
        <v>1257</v>
      </c>
      <c r="D15" s="1170">
        <f>+SUM(E15:I15)</f>
        <v>0</v>
      </c>
      <c r="E15" s="1179">
        <v>0</v>
      </c>
      <c r="F15" s="1179">
        <v>0</v>
      </c>
      <c r="G15" s="1179">
        <v>0</v>
      </c>
      <c r="H15" s="1179"/>
      <c r="I15" s="1179"/>
    </row>
    <row r="16" spans="1:12">
      <c r="A16" s="1174">
        <f t="shared" ref="A16:A43" si="0">+A15+1</f>
        <v>2</v>
      </c>
      <c r="B16" s="1178" t="s">
        <v>1264</v>
      </c>
      <c r="C16" s="1180" t="s">
        <v>1338</v>
      </c>
      <c r="D16" s="1181"/>
      <c r="E16" s="1180">
        <v>5</v>
      </c>
      <c r="F16" s="1180">
        <v>5</v>
      </c>
      <c r="G16" s="1180">
        <v>5</v>
      </c>
      <c r="H16" s="1180">
        <v>5</v>
      </c>
      <c r="I16" s="1180">
        <v>5</v>
      </c>
    </row>
    <row r="17" spans="1:9">
      <c r="A17" s="1174">
        <f t="shared" si="0"/>
        <v>3</v>
      </c>
      <c r="B17" s="1182" t="s">
        <v>1253</v>
      </c>
      <c r="C17" s="1183" t="str">
        <f>"Line "&amp;A15&amp;" / Line "&amp;A16</f>
        <v>Line 1 / Line 2</v>
      </c>
      <c r="D17" s="1183">
        <f>+SUM(E17:I17)</f>
        <v>0</v>
      </c>
      <c r="E17" s="1184">
        <f>+E15/E16</f>
        <v>0</v>
      </c>
      <c r="F17" s="1184">
        <f>+F15/F16</f>
        <v>0</v>
      </c>
      <c r="G17" s="1184">
        <f>+G15/G16</f>
        <v>0</v>
      </c>
      <c r="H17" s="1184">
        <f>+H15/H16</f>
        <v>0</v>
      </c>
      <c r="I17" s="1184">
        <f>+I15/I16</f>
        <v>0</v>
      </c>
    </row>
    <row r="18" spans="1:9" ht="13.5" customHeight="1">
      <c r="A18" s="1174">
        <f t="shared" si="0"/>
        <v>4</v>
      </c>
      <c r="B18" s="1178" t="s">
        <v>1249</v>
      </c>
      <c r="C18" s="1170" t="s">
        <v>1257</v>
      </c>
      <c r="D18" s="1170">
        <f>+SUM(E18:I18)</f>
        <v>0</v>
      </c>
      <c r="E18" s="1179"/>
      <c r="F18" s="1179"/>
      <c r="G18" s="1179"/>
      <c r="H18" s="1179"/>
      <c r="I18" s="1179"/>
    </row>
    <row r="19" spans="1:9">
      <c r="A19" s="1174">
        <f t="shared" si="0"/>
        <v>5</v>
      </c>
      <c r="B19" s="1182" t="s">
        <v>1250</v>
      </c>
      <c r="C19" s="1183" t="str">
        <f>"Line "&amp;A17&amp;" + Line "&amp;A18</f>
        <v>Line 3 + Line 4</v>
      </c>
      <c r="D19" s="1183">
        <f>+SUM(E19:I19)</f>
        <v>0</v>
      </c>
      <c r="E19" s="1184">
        <f>+E17+E18</f>
        <v>0</v>
      </c>
      <c r="F19" s="1184">
        <f>+F17+F18</f>
        <v>0</v>
      </c>
      <c r="G19" s="1184">
        <f>+G17+G18</f>
        <v>0</v>
      </c>
      <c r="H19" s="1184">
        <f>+H17+H18</f>
        <v>0</v>
      </c>
      <c r="I19" s="1184">
        <f>+I17+I18</f>
        <v>0</v>
      </c>
    </row>
    <row r="20" spans="1:9">
      <c r="A20" s="1174"/>
      <c r="B20" s="1185"/>
    </row>
    <row r="21" spans="1:9" ht="25.5">
      <c r="A21" s="1174">
        <f>+A19+1</f>
        <v>6</v>
      </c>
      <c r="B21" s="1178" t="s">
        <v>1266</v>
      </c>
      <c r="C21" s="1179" t="s">
        <v>1268</v>
      </c>
      <c r="D21" s="1170">
        <f>+SUM(E21:I21)</f>
        <v>0</v>
      </c>
      <c r="E21" s="1158">
        <v>0</v>
      </c>
      <c r="F21" s="1158">
        <f>'SWEPCO WS C-2 ADIT BOY'!H45</f>
        <v>0</v>
      </c>
      <c r="G21" s="1158">
        <f>+'SWEPCO WS C-2 ADIT BOY'!H102</f>
        <v>0</v>
      </c>
    </row>
    <row r="22" spans="1:9" ht="25.5">
      <c r="A22" s="1174">
        <f t="shared" si="0"/>
        <v>7</v>
      </c>
      <c r="B22" s="1178" t="s">
        <v>1265</v>
      </c>
      <c r="C22" s="1170" t="str">
        <f>"Line "&amp;A15&amp;" - Line "&amp;A18</f>
        <v>Line 1 - Line 4</v>
      </c>
      <c r="D22" s="1170">
        <f t="shared" ref="D22:D23" si="1">+SUM(E22:I22)</f>
        <v>0</v>
      </c>
      <c r="E22" s="1158">
        <f>+E15+E18</f>
        <v>0</v>
      </c>
      <c r="F22" s="1158">
        <f>+F15-F18</f>
        <v>0</v>
      </c>
      <c r="G22" s="1158">
        <f>+G15-G18</f>
        <v>0</v>
      </c>
      <c r="H22" s="1158">
        <f>+H15-H18</f>
        <v>0</v>
      </c>
      <c r="I22" s="1158">
        <f>+I15-I18</f>
        <v>0</v>
      </c>
    </row>
    <row r="23" spans="1:9">
      <c r="A23" s="1174">
        <f t="shared" si="0"/>
        <v>8</v>
      </c>
      <c r="B23" s="1182" t="s">
        <v>1267</v>
      </c>
      <c r="C23" s="1183" t="str">
        <f>"Line "&amp;A21&amp;" - Line "&amp;A22</f>
        <v>Line 6 - Line 7</v>
      </c>
      <c r="D23" s="1183">
        <f t="shared" si="1"/>
        <v>0</v>
      </c>
      <c r="E23" s="1184">
        <f>+E21-E22</f>
        <v>0</v>
      </c>
      <c r="F23" s="1184">
        <f>+F21-F22</f>
        <v>0</v>
      </c>
      <c r="G23" s="1184">
        <f>+G21-G22</f>
        <v>0</v>
      </c>
      <c r="H23" s="1184">
        <f>+H21-H22</f>
        <v>0</v>
      </c>
      <c r="I23" s="1184">
        <f>+I21-I22</f>
        <v>0</v>
      </c>
    </row>
    <row r="24" spans="1:9">
      <c r="A24" s="1174"/>
      <c r="B24" s="1178"/>
    </row>
    <row r="25" spans="1:9" ht="25.5">
      <c r="A25" s="1174">
        <f>+A23+1</f>
        <v>9</v>
      </c>
      <c r="B25" s="1178" t="s">
        <v>1259</v>
      </c>
      <c r="C25" s="1179" t="s">
        <v>1260</v>
      </c>
      <c r="D25" s="1170">
        <f>+SUM(E25:I25)</f>
        <v>-40679751.869999997</v>
      </c>
      <c r="E25" s="1160">
        <v>0</v>
      </c>
      <c r="F25" s="1160">
        <f>+'SWEPCO WS C-1 ADIT EOY'!H50+'SWEPCO WS C-1 ADIT EOY'!H51+'SWEPCO WS C-1 ADIT EOY'!H52+'SWEPCO WS C-1 ADIT EOY'!H53+'SWEPCO WS C-1 ADIT EOY'!H54</f>
        <v>-52749307.289999999</v>
      </c>
      <c r="G25" s="1160">
        <f>+'SWEPCO WS C-1 ADIT EOY'!H115+'SWEPCO WS C-1 ADIT EOY'!H116+'SWEPCO WS C-1 ADIT EOY'!H117+'SWEPCO WS C-1 ADIT EOY'!H118+'SWEPCO WS C-1 ADIT EOY'!H119</f>
        <v>12069555.42</v>
      </c>
      <c r="H25" s="1160"/>
      <c r="I25" s="1160"/>
    </row>
    <row r="26" spans="1:9" ht="25.5">
      <c r="A26" s="1174">
        <f t="shared" si="0"/>
        <v>10</v>
      </c>
      <c r="B26" s="1178" t="s">
        <v>1263</v>
      </c>
      <c r="C26" s="1170" t="str">
        <f>"Line "&amp;A15&amp;" - Line "&amp;A19</f>
        <v>Line 1 - Line 5</v>
      </c>
      <c r="D26" s="1170">
        <f t="shared" ref="D26:D27" si="2">+SUM(E26:I26)</f>
        <v>0</v>
      </c>
      <c r="E26" s="1186">
        <f>+E15-E19</f>
        <v>0</v>
      </c>
      <c r="F26" s="1186">
        <f>+F15-F19</f>
        <v>0</v>
      </c>
      <c r="G26" s="1186">
        <f>+G15-G19</f>
        <v>0</v>
      </c>
      <c r="H26" s="1186">
        <f>+H15-H19</f>
        <v>0</v>
      </c>
      <c r="I26" s="1186">
        <f>+I15-I19</f>
        <v>0</v>
      </c>
    </row>
    <row r="27" spans="1:9">
      <c r="A27" s="1174">
        <f t="shared" si="0"/>
        <v>11</v>
      </c>
      <c r="B27" s="1182" t="s">
        <v>1262</v>
      </c>
      <c r="C27" s="1183" t="str">
        <f>"Line "&amp;A25&amp;" - Line "&amp;A26</f>
        <v>Line 9 - Line 10</v>
      </c>
      <c r="D27" s="1183">
        <f t="shared" si="2"/>
        <v>-40679751.869999997</v>
      </c>
      <c r="E27" s="1184">
        <f>+E25-E26</f>
        <v>0</v>
      </c>
      <c r="F27" s="1184">
        <f>+F25-F26</f>
        <v>-52749307.289999999</v>
      </c>
      <c r="G27" s="1184">
        <f t="shared" ref="G27:I27" si="3">+G25-G26</f>
        <v>12069555.42</v>
      </c>
      <c r="H27" s="1184">
        <f t="shared" si="3"/>
        <v>0</v>
      </c>
      <c r="I27" s="1184">
        <f t="shared" si="3"/>
        <v>0</v>
      </c>
    </row>
    <row r="28" spans="1:9">
      <c r="A28" s="1174"/>
    </row>
    <row r="29" spans="1:9">
      <c r="A29" s="1174"/>
    </row>
    <row r="30" spans="1:9">
      <c r="A30" s="1174"/>
      <c r="E30" s="2466" t="s">
        <v>1251</v>
      </c>
      <c r="F30" s="2466"/>
      <c r="G30" s="2466"/>
    </row>
    <row r="31" spans="1:9" ht="15">
      <c r="A31" s="1174"/>
      <c r="B31" s="1175" t="s">
        <v>1258</v>
      </c>
      <c r="C31" s="1176" t="s">
        <v>347</v>
      </c>
      <c r="D31" s="1176" t="s">
        <v>260</v>
      </c>
      <c r="E31" s="1187">
        <v>2821001</v>
      </c>
      <c r="F31" s="1187" t="s">
        <v>1254</v>
      </c>
      <c r="G31" s="1187" t="s">
        <v>1254</v>
      </c>
      <c r="H31" s="1188"/>
      <c r="I31" s="1188"/>
    </row>
    <row r="32" spans="1:9" ht="25.5">
      <c r="A32" s="1174">
        <f>+A27+1</f>
        <v>12</v>
      </c>
      <c r="B32" s="1178" t="s">
        <v>1286</v>
      </c>
      <c r="C32" s="1170" t="s">
        <v>1257</v>
      </c>
      <c r="D32" s="1170">
        <f t="shared" ref="D32:D43" si="4">+SUM(E32:I32)</f>
        <v>0</v>
      </c>
      <c r="E32" s="1179">
        <v>0</v>
      </c>
      <c r="F32" s="1179"/>
      <c r="G32" s="1179"/>
      <c r="H32" s="1188"/>
      <c r="I32" s="1188"/>
    </row>
    <row r="33" spans="1:10">
      <c r="A33" s="1174">
        <f>+A32+1</f>
        <v>13</v>
      </c>
      <c r="B33" s="1178" t="s">
        <v>1253</v>
      </c>
      <c r="C33" s="1170" t="s">
        <v>1257</v>
      </c>
      <c r="D33" s="1170">
        <f t="shared" si="4"/>
        <v>0</v>
      </c>
      <c r="E33" s="1179">
        <v>0</v>
      </c>
      <c r="F33" s="1179"/>
      <c r="G33" s="1179"/>
      <c r="H33" s="1188"/>
      <c r="I33" s="1188"/>
    </row>
    <row r="34" spans="1:10" ht="13.5" customHeight="1">
      <c r="A34" s="1174">
        <f t="shared" si="0"/>
        <v>14</v>
      </c>
      <c r="B34" s="1178" t="s">
        <v>1276</v>
      </c>
      <c r="C34" s="1170" t="s">
        <v>1257</v>
      </c>
      <c r="D34" s="1170">
        <f t="shared" si="4"/>
        <v>0</v>
      </c>
      <c r="E34" s="1179"/>
      <c r="F34" s="1179"/>
      <c r="G34" s="1179"/>
      <c r="H34" s="1188"/>
      <c r="I34" s="1188"/>
    </row>
    <row r="35" spans="1:10">
      <c r="A35" s="1174">
        <f t="shared" si="0"/>
        <v>15</v>
      </c>
      <c r="B35" s="1182" t="s">
        <v>1277</v>
      </c>
      <c r="C35" s="1183" t="str">
        <f>"Line "&amp;A33&amp;" + Line "&amp;A34</f>
        <v>Line 13 + Line 14</v>
      </c>
      <c r="D35" s="1183">
        <f t="shared" si="4"/>
        <v>0</v>
      </c>
      <c r="E35" s="1184">
        <f>+E33+E34</f>
        <v>0</v>
      </c>
      <c r="F35" s="1184">
        <f>+F33+F34</f>
        <v>0</v>
      </c>
      <c r="G35" s="1184"/>
      <c r="H35" s="1188"/>
      <c r="I35" s="1188"/>
    </row>
    <row r="36" spans="1:10">
      <c r="A36" s="1174"/>
      <c r="B36" s="1185"/>
      <c r="H36" s="1188"/>
      <c r="I36" s="1188"/>
    </row>
    <row r="37" spans="1:10" ht="25.5">
      <c r="A37" s="1174">
        <f>+A35+1</f>
        <v>16</v>
      </c>
      <c r="B37" s="1178" t="s">
        <v>1274</v>
      </c>
      <c r="C37" s="1179" t="s">
        <v>1273</v>
      </c>
      <c r="D37" s="1160">
        <f t="shared" si="4"/>
        <v>387222.41</v>
      </c>
      <c r="E37" s="1186">
        <f>+'SWEPCO WS C-2 ADIT BOY'!H44</f>
        <v>387222.41</v>
      </c>
      <c r="F37" s="1186"/>
      <c r="G37" s="1186"/>
      <c r="H37" s="1188"/>
      <c r="I37" s="1188"/>
      <c r="J37" s="1188"/>
    </row>
    <row r="38" spans="1:10" ht="25.5">
      <c r="A38" s="1174">
        <f t="shared" si="0"/>
        <v>17</v>
      </c>
      <c r="B38" s="1178" t="s">
        <v>1263</v>
      </c>
      <c r="C38" s="1170" t="str">
        <f>"Line "&amp;A32&amp;" - Line "&amp;A34</f>
        <v>Line 12 - Line 14</v>
      </c>
      <c r="D38" s="1189">
        <f t="shared" si="4"/>
        <v>0</v>
      </c>
      <c r="E38" s="1186">
        <f>+E32-E34</f>
        <v>0</v>
      </c>
      <c r="F38" s="1186">
        <f>+F32-F34</f>
        <v>0</v>
      </c>
      <c r="G38" s="1186">
        <f>+G32-G34</f>
        <v>0</v>
      </c>
      <c r="H38" s="1188"/>
      <c r="I38" s="1188"/>
      <c r="J38" s="1188"/>
    </row>
    <row r="39" spans="1:10">
      <c r="A39" s="1174">
        <f t="shared" si="0"/>
        <v>18</v>
      </c>
      <c r="B39" s="1182" t="s">
        <v>1267</v>
      </c>
      <c r="C39" s="1183" t="str">
        <f>"Line "&amp;A37&amp;" - Line "&amp;A38</f>
        <v>Line 16 - Line 17</v>
      </c>
      <c r="D39" s="1190">
        <f t="shared" si="4"/>
        <v>387222.41</v>
      </c>
      <c r="E39" s="1184">
        <f>+E37-E38</f>
        <v>387222.41</v>
      </c>
      <c r="F39" s="1184">
        <f>+F37-F38</f>
        <v>0</v>
      </c>
      <c r="G39" s="1184">
        <f>+G37-G38</f>
        <v>0</v>
      </c>
      <c r="H39" s="1188"/>
      <c r="I39" s="1188"/>
      <c r="J39" s="1188"/>
    </row>
    <row r="40" spans="1:10">
      <c r="A40" s="1174"/>
      <c r="H40" s="1188"/>
      <c r="I40" s="1188"/>
      <c r="J40" s="1188"/>
    </row>
    <row r="41" spans="1:10" ht="25.5">
      <c r="A41" s="1174">
        <f>+A39+1</f>
        <v>19</v>
      </c>
      <c r="B41" s="1178" t="s">
        <v>1275</v>
      </c>
      <c r="C41" s="1179" t="s">
        <v>1261</v>
      </c>
      <c r="D41" s="1160">
        <f t="shared" si="4"/>
        <v>-480674685.99000001</v>
      </c>
      <c r="E41" s="1160">
        <f>+'SWEPCO WS C-1 ADIT EOY'!H45+'SWEPCO WS C-1 ADIT EOY'!H46+'SWEPCO WS C-1 ADIT EOY'!H47+'SWEPCO WS C-1 ADIT EOY'!H48+'SWEPCO WS C-1 ADIT EOY'!H49</f>
        <v>-480674685.99000001</v>
      </c>
      <c r="F41" s="1160"/>
      <c r="G41" s="1160"/>
      <c r="H41" s="1188"/>
      <c r="I41" s="1188"/>
      <c r="J41" s="1188"/>
    </row>
    <row r="42" spans="1:10" ht="25.5">
      <c r="A42" s="1174">
        <f t="shared" si="0"/>
        <v>20</v>
      </c>
      <c r="B42" s="1178" t="s">
        <v>1263</v>
      </c>
      <c r="C42" s="1170" t="str">
        <f>"Line "&amp;A32&amp;" - Line "&amp;A35</f>
        <v>Line 12 - Line 15</v>
      </c>
      <c r="D42" s="1189">
        <f t="shared" si="4"/>
        <v>0</v>
      </c>
      <c r="E42" s="1160">
        <f>+E32-E35</f>
        <v>0</v>
      </c>
      <c r="F42" s="1160">
        <f>+F32-F35</f>
        <v>0</v>
      </c>
      <c r="G42" s="1160">
        <f>+G32-G35</f>
        <v>0</v>
      </c>
      <c r="H42" s="1188"/>
      <c r="I42" s="1188"/>
      <c r="J42" s="1188"/>
    </row>
    <row r="43" spans="1:10">
      <c r="A43" s="1174">
        <f t="shared" si="0"/>
        <v>21</v>
      </c>
      <c r="B43" s="1182" t="s">
        <v>1262</v>
      </c>
      <c r="C43" s="1183" t="str">
        <f>"Line "&amp;A41&amp;" - Line "&amp;A42</f>
        <v>Line 19 - Line 20</v>
      </c>
      <c r="D43" s="1190">
        <f t="shared" si="4"/>
        <v>-480674685.99000001</v>
      </c>
      <c r="E43" s="1184">
        <f>+E41-E42</f>
        <v>-480674685.99000001</v>
      </c>
      <c r="F43" s="1184">
        <f>+F41-F42</f>
        <v>0</v>
      </c>
      <c r="G43" s="1184">
        <f>+G41-G42</f>
        <v>0</v>
      </c>
      <c r="H43" s="1188"/>
      <c r="I43" s="1188"/>
    </row>
    <row r="44" spans="1:10">
      <c r="A44" s="1174"/>
      <c r="G44" s="1188"/>
      <c r="H44" s="1188"/>
      <c r="I44" s="1188"/>
    </row>
    <row r="45" spans="1:10">
      <c r="A45" s="1174"/>
    </row>
    <row r="46" spans="1:10" ht="15">
      <c r="A46" s="1174"/>
      <c r="B46" s="1175" t="s">
        <v>1281</v>
      </c>
      <c r="D46" s="1191" t="s">
        <v>1248</v>
      </c>
    </row>
    <row r="47" spans="1:10">
      <c r="A47" s="1174">
        <f>+A43+1</f>
        <v>22</v>
      </c>
      <c r="B47" s="1158" t="s">
        <v>1278</v>
      </c>
      <c r="C47" s="1170" t="str">
        <f>"Line "&amp;A17</f>
        <v>Line 3</v>
      </c>
      <c r="D47" s="1158">
        <f>+D17</f>
        <v>0</v>
      </c>
    </row>
    <row r="48" spans="1:10">
      <c r="A48" s="1174">
        <f>+A47+1</f>
        <v>23</v>
      </c>
      <c r="B48" s="1158" t="s">
        <v>1279</v>
      </c>
      <c r="C48" s="1170" t="str">
        <f>"Line "&amp;A33</f>
        <v>Line 13</v>
      </c>
      <c r="D48" s="1158">
        <f>+D33</f>
        <v>0</v>
      </c>
    </row>
    <row r="49" spans="1:5">
      <c r="A49" s="1174">
        <f>+A48+1</f>
        <v>24</v>
      </c>
      <c r="B49" s="1184" t="s">
        <v>1280</v>
      </c>
      <c r="C49" s="1183" t="str">
        <f>"Line "&amp;A47&amp;" + Line "&amp;A48</f>
        <v>Line 22 + Line 23</v>
      </c>
      <c r="D49" s="1184">
        <f>+D47+D48</f>
        <v>0</v>
      </c>
    </row>
    <row r="51" spans="1:5">
      <c r="E51" s="1844"/>
    </row>
  </sheetData>
  <mergeCells count="7">
    <mergeCell ref="E30:G30"/>
    <mergeCell ref="B3:I3"/>
    <mergeCell ref="B4:I4"/>
    <mergeCell ref="B5:I5"/>
    <mergeCell ref="B6:I6"/>
    <mergeCell ref="B9:I9"/>
    <mergeCell ref="E13:I13"/>
  </mergeCells>
  <pageMargins left="0.45" right="0.2" top="0.75" bottom="0.7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topLeftCell="P12" zoomScale="81" zoomScaleNormal="81" zoomScaleSheetLayoutView="80" zoomScalePageLayoutView="70" workbookViewId="0">
      <selection activeCell="Q32" sqref="Q32"/>
    </sheetView>
  </sheetViews>
  <sheetFormatPr defaultColWidth="11.42578125" defaultRowHeight="12.75"/>
  <cols>
    <col min="1" max="1" width="12.5703125" style="1895" customWidth="1"/>
    <col min="2" max="2" width="15.42578125" style="1846" customWidth="1"/>
    <col min="3" max="3" width="42.28515625" style="1846" customWidth="1"/>
    <col min="4" max="4" width="22.140625" style="1846" customWidth="1"/>
    <col min="5" max="5" width="21" style="1846" customWidth="1"/>
    <col min="6" max="6" width="1" style="1846" customWidth="1"/>
    <col min="7" max="7" width="24" style="1846" customWidth="1"/>
    <col min="8" max="8" width="1" style="1846" customWidth="1"/>
    <col min="9" max="9" width="19.140625" style="1846" customWidth="1"/>
    <col min="10" max="10" width="16.7109375" style="1846" customWidth="1"/>
    <col min="11" max="11" width="49.85546875" style="1846" customWidth="1"/>
    <col min="12" max="13" width="13.42578125" style="1846" customWidth="1"/>
    <col min="14" max="14" width="34.85546875" style="1846" customWidth="1"/>
    <col min="15" max="15" width="29.28515625" style="1846" customWidth="1"/>
    <col min="16" max="16" width="21.140625" style="1846" customWidth="1"/>
    <col min="17" max="29" width="14.28515625" style="1846" customWidth="1"/>
    <col min="30" max="16384" width="11.42578125" style="1846"/>
  </cols>
  <sheetData>
    <row r="1" spans="1:29" ht="15">
      <c r="A1" s="1845"/>
      <c r="K1" s="1847"/>
      <c r="M1" s="1845"/>
      <c r="AC1" s="1847"/>
    </row>
    <row r="2" spans="1:29" ht="15">
      <c r="A2" s="2554" t="str">
        <f>+'SWEPCO TCOS'!F4</f>
        <v xml:space="preserve">AEP West SPP Member Operating Companies </v>
      </c>
      <c r="B2" s="2554"/>
      <c r="C2" s="2554"/>
      <c r="D2" s="2554"/>
      <c r="E2" s="2554"/>
      <c r="F2" s="2554"/>
      <c r="G2" s="2554"/>
      <c r="H2" s="2554"/>
      <c r="I2" s="2554"/>
      <c r="J2" s="2554"/>
      <c r="K2" s="2554"/>
      <c r="L2" s="1195"/>
      <c r="M2" s="2554" t="str">
        <f>+A2</f>
        <v xml:space="preserve">AEP West SPP Member Operating Companies </v>
      </c>
      <c r="N2" s="2554"/>
      <c r="O2" s="2554"/>
      <c r="P2" s="2554"/>
      <c r="Q2" s="2554"/>
      <c r="R2" s="2554"/>
      <c r="S2" s="2554"/>
      <c r="T2" s="2554"/>
      <c r="U2" s="2554"/>
      <c r="V2" s="2554"/>
      <c r="W2" s="2554"/>
      <c r="X2" s="2554"/>
      <c r="Y2" s="2554"/>
    </row>
    <row r="3" spans="1:29" ht="15">
      <c r="A3" s="2554" t="str">
        <f>+'SWEPCO WS A-1 - Plant'!A3</f>
        <v xml:space="preserve">Actual / Projected 2018 Rate Year Cost of Service Formula Rate </v>
      </c>
      <c r="B3" s="2554"/>
      <c r="C3" s="2554"/>
      <c r="D3" s="2554"/>
      <c r="E3" s="2554"/>
      <c r="F3" s="2554"/>
      <c r="G3" s="2554"/>
      <c r="H3" s="2554"/>
      <c r="I3" s="2554"/>
      <c r="J3" s="2554"/>
      <c r="K3" s="2554"/>
      <c r="L3" s="1196"/>
      <c r="M3" s="2554" t="str">
        <f>+A3</f>
        <v xml:space="preserve">Actual / Projected 2018 Rate Year Cost of Service Formula Rate </v>
      </c>
      <c r="N3" s="2554"/>
      <c r="O3" s="2554"/>
      <c r="P3" s="2554"/>
      <c r="Q3" s="2554"/>
      <c r="R3" s="2554"/>
      <c r="S3" s="2554"/>
      <c r="T3" s="2554"/>
      <c r="U3" s="2554"/>
      <c r="V3" s="2554"/>
      <c r="W3" s="2554"/>
      <c r="X3" s="2554"/>
      <c r="Y3" s="2554"/>
    </row>
    <row r="4" spans="1:29" ht="15.75">
      <c r="A4" s="2555" t="s">
        <v>1342</v>
      </c>
      <c r="B4" s="2554"/>
      <c r="C4" s="2554"/>
      <c r="D4" s="2554"/>
      <c r="E4" s="2554"/>
      <c r="F4" s="2554"/>
      <c r="G4" s="2554"/>
      <c r="H4" s="2554"/>
      <c r="I4" s="2554"/>
      <c r="J4" s="2554"/>
      <c r="K4" s="2554"/>
      <c r="L4" s="1848"/>
      <c r="M4" s="2554" t="str">
        <f>+A4</f>
        <v>Worksheet D - Materials and Supplies and Prepayments</v>
      </c>
      <c r="N4" s="2554"/>
      <c r="O4" s="2554"/>
      <c r="P4" s="2554"/>
      <c r="Q4" s="2554"/>
      <c r="R4" s="2554"/>
      <c r="S4" s="2554"/>
      <c r="T4" s="2554"/>
      <c r="U4" s="2554"/>
      <c r="V4" s="2554"/>
      <c r="W4" s="2554"/>
      <c r="X4" s="2554"/>
      <c r="Y4" s="2554"/>
    </row>
    <row r="5" spans="1:29" ht="15.75">
      <c r="A5" s="2479" t="str">
        <f>+'SWEPCO TCOS'!F8</f>
        <v>SOUTHWESTERN ELECTRIC POWER COMPANY</v>
      </c>
      <c r="B5" s="2479"/>
      <c r="C5" s="2479"/>
      <c r="D5" s="2479"/>
      <c r="E5" s="2479"/>
      <c r="F5" s="2479"/>
      <c r="G5" s="2479"/>
      <c r="H5" s="2479"/>
      <c r="I5" s="2479"/>
      <c r="J5" s="2479"/>
      <c r="K5" s="2479"/>
      <c r="L5" s="787"/>
      <c r="M5" s="2555" t="str">
        <f>+A5</f>
        <v>SOUTHWESTERN ELECTRIC POWER COMPANY</v>
      </c>
      <c r="N5" s="2555"/>
      <c r="O5" s="2555"/>
      <c r="P5" s="2555"/>
      <c r="Q5" s="2555"/>
      <c r="R5" s="2555"/>
      <c r="S5" s="2555"/>
      <c r="T5" s="2555"/>
      <c r="U5" s="2555"/>
      <c r="V5" s="2555"/>
      <c r="W5" s="2555"/>
      <c r="X5" s="2555"/>
      <c r="Y5" s="2555"/>
    </row>
    <row r="6" spans="1:29" ht="15">
      <c r="A6" s="787"/>
      <c r="B6" s="787"/>
      <c r="C6" s="787"/>
      <c r="D6" s="787"/>
      <c r="E6" s="787"/>
      <c r="F6" s="787"/>
      <c r="G6" s="787"/>
      <c r="H6" s="844"/>
      <c r="I6" s="1849"/>
      <c r="J6" s="1849"/>
      <c r="K6" s="1849"/>
      <c r="L6" s="1849"/>
      <c r="M6" s="787"/>
      <c r="N6" s="787"/>
      <c r="O6" s="787"/>
      <c r="P6" s="787"/>
      <c r="Q6" s="787"/>
      <c r="R6" s="787"/>
      <c r="S6" s="787"/>
      <c r="T6" s="787"/>
      <c r="U6" s="844"/>
      <c r="V6" s="1849"/>
      <c r="W6" s="1849"/>
      <c r="X6" s="1849"/>
      <c r="Y6" s="1849"/>
    </row>
    <row r="7" spans="1:29" ht="12.75" customHeight="1">
      <c r="A7" s="1850"/>
      <c r="B7" s="1850" t="s">
        <v>303</v>
      </c>
      <c r="C7" s="1850" t="s">
        <v>304</v>
      </c>
      <c r="D7" s="1850" t="s">
        <v>207</v>
      </c>
      <c r="E7" s="1850" t="s">
        <v>306</v>
      </c>
      <c r="F7" s="1850"/>
      <c r="G7" s="1850" t="s">
        <v>231</v>
      </c>
      <c r="H7" s="1850"/>
      <c r="I7" s="1850" t="s">
        <v>232</v>
      </c>
      <c r="J7" s="1850" t="s">
        <v>233</v>
      </c>
      <c r="K7" s="1850" t="s">
        <v>238</v>
      </c>
      <c r="L7" s="1850"/>
      <c r="M7" s="1850" t="s">
        <v>303</v>
      </c>
      <c r="N7" s="1850" t="s">
        <v>304</v>
      </c>
      <c r="O7" s="1850" t="s">
        <v>207</v>
      </c>
      <c r="P7" s="1850" t="s">
        <v>306</v>
      </c>
      <c r="Q7" s="1850" t="s">
        <v>231</v>
      </c>
      <c r="R7" s="1850" t="s">
        <v>232</v>
      </c>
      <c r="S7" s="1850" t="s">
        <v>233</v>
      </c>
      <c r="T7" s="1850" t="s">
        <v>238</v>
      </c>
      <c r="U7" s="1850" t="s">
        <v>179</v>
      </c>
      <c r="V7" s="1850" t="s">
        <v>73</v>
      </c>
      <c r="W7" s="1850" t="s">
        <v>1290</v>
      </c>
      <c r="X7" s="1850" t="s">
        <v>559</v>
      </c>
      <c r="Y7" s="1850" t="s">
        <v>560</v>
      </c>
      <c r="Z7" s="1850" t="s">
        <v>1291</v>
      </c>
      <c r="AA7" s="1850" t="s">
        <v>561</v>
      </c>
      <c r="AB7" s="1850" t="s">
        <v>1293</v>
      </c>
      <c r="AC7" s="1850" t="s">
        <v>1296</v>
      </c>
    </row>
    <row r="8" spans="1:29">
      <c r="A8" s="1851"/>
      <c r="M8" s="1851"/>
    </row>
    <row r="9" spans="1:29" ht="18">
      <c r="A9" s="1851"/>
      <c r="B9" s="2570" t="s">
        <v>348</v>
      </c>
      <c r="C9" s="2570"/>
      <c r="D9" s="2570"/>
      <c r="E9" s="2570"/>
      <c r="F9" s="2570"/>
      <c r="G9" s="2570"/>
      <c r="H9" s="2570"/>
      <c r="I9" s="2570"/>
      <c r="J9" s="2570"/>
      <c r="K9" s="2570"/>
      <c r="M9" s="2570" t="s">
        <v>348</v>
      </c>
      <c r="N9" s="2570"/>
      <c r="O9" s="2570"/>
      <c r="P9" s="2570"/>
      <c r="Q9" s="2570"/>
      <c r="R9" s="2570"/>
      <c r="S9" s="2570"/>
      <c r="T9" s="2570"/>
      <c r="U9" s="2570"/>
      <c r="V9" s="2570"/>
      <c r="W9" s="2570"/>
      <c r="X9" s="2570"/>
      <c r="Y9" s="2570"/>
      <c r="Z9" s="2570"/>
      <c r="AA9" s="2570"/>
      <c r="AB9" s="2570"/>
      <c r="AC9" s="2570"/>
    </row>
    <row r="10" spans="1:29">
      <c r="A10" s="1851"/>
      <c r="I10" s="779"/>
      <c r="J10" s="779"/>
    </row>
    <row r="11" spans="1:29" ht="30" customHeight="1">
      <c r="A11" s="1202"/>
      <c r="B11" s="1852"/>
      <c r="C11" s="1853"/>
      <c r="D11" s="1205"/>
      <c r="E11" s="700"/>
      <c r="F11" s="700"/>
      <c r="G11" s="2477" t="str">
        <f>"Beginning/Ending Average Balance for Rate Year "</f>
        <v xml:space="preserve">Beginning/Ending Average Balance for Rate Year </v>
      </c>
      <c r="H11" s="1854"/>
      <c r="J11" s="779"/>
      <c r="K11" s="1855"/>
      <c r="L11" s="1202"/>
      <c r="M11" s="1856"/>
      <c r="N11" s="1856"/>
      <c r="O11" s="1856"/>
      <c r="P11" s="1856"/>
      <c r="Q11" s="2569" t="s">
        <v>1289</v>
      </c>
      <c r="R11" s="2569"/>
      <c r="S11" s="2569"/>
      <c r="T11" s="2569"/>
      <c r="U11" s="2569"/>
      <c r="V11" s="2569"/>
      <c r="W11" s="2569"/>
      <c r="X11" s="2569"/>
      <c r="Y11" s="2569"/>
      <c r="Z11" s="2569"/>
      <c r="AA11" s="2569"/>
      <c r="AB11" s="2569"/>
      <c r="AC11" s="2569"/>
    </row>
    <row r="12" spans="1:29" ht="25.5">
      <c r="A12" s="1209" t="s">
        <v>1292</v>
      </c>
      <c r="B12" s="1857"/>
      <c r="C12" s="1852"/>
      <c r="D12" s="1858" t="s">
        <v>347</v>
      </c>
      <c r="E12" s="700"/>
      <c r="F12" s="700"/>
      <c r="G12" s="2478"/>
      <c r="H12" s="1859"/>
      <c r="J12" s="779"/>
      <c r="K12" s="1860"/>
      <c r="L12" s="1202" t="s">
        <v>1292</v>
      </c>
      <c r="M12" s="1202" t="s">
        <v>308</v>
      </c>
      <c r="N12" s="1856"/>
      <c r="O12" s="1861" t="s">
        <v>1297</v>
      </c>
      <c r="P12" s="1861" t="s">
        <v>1388</v>
      </c>
      <c r="Q12" s="1862" t="str">
        <f>"December "&amp;'SWEPCO TCOS'!$N$2-1</f>
        <v>December 2017</v>
      </c>
      <c r="R12" s="1862" t="str">
        <f>"January "&amp;'SWEPCO TCOS'!$N$2</f>
        <v>January 2018</v>
      </c>
      <c r="S12" s="1862" t="str">
        <f>"February "&amp;'SWEPCO TCOS'!$N$2</f>
        <v>February 2018</v>
      </c>
      <c r="T12" s="1862" t="str">
        <f>"March "&amp;'SWEPCO TCOS'!$N$2</f>
        <v>March 2018</v>
      </c>
      <c r="U12" s="1862" t="str">
        <f>"April "&amp;'SWEPCO TCOS'!$N$2</f>
        <v>April 2018</v>
      </c>
      <c r="V12" s="1862" t="str">
        <f>"May "&amp;'SWEPCO TCOS'!$N$2</f>
        <v>May 2018</v>
      </c>
      <c r="W12" s="1862" t="str">
        <f>"June "&amp;'SWEPCO TCOS'!$N$2</f>
        <v>June 2018</v>
      </c>
      <c r="X12" s="1862" t="str">
        <f>"July "&amp;'SWEPCO TCOS'!$N$2</f>
        <v>July 2018</v>
      </c>
      <c r="Y12" s="1862" t="str">
        <f>"August "&amp;'SWEPCO TCOS'!$N$2</f>
        <v>August 2018</v>
      </c>
      <c r="Z12" s="1862" t="str">
        <f>"September "&amp;'SWEPCO TCOS'!$N$2</f>
        <v>September 2018</v>
      </c>
      <c r="AA12" s="1862" t="str">
        <f>"October "&amp;'SWEPCO TCOS'!$N$2</f>
        <v>October 2018</v>
      </c>
      <c r="AB12" s="1862" t="str">
        <f>"November "&amp;'SWEPCO TCOS'!$N$2</f>
        <v>November 2018</v>
      </c>
      <c r="AC12" s="1862" t="str">
        <f>"December "&amp;'SWEPCO TCOS'!$N$2</f>
        <v>December 2018</v>
      </c>
    </row>
    <row r="13" spans="1:29">
      <c r="A13" s="1857"/>
      <c r="B13" s="1857"/>
      <c r="C13" s="1852"/>
      <c r="D13" s="1849"/>
      <c r="E13" s="700"/>
      <c r="F13" s="700"/>
      <c r="H13" s="1863"/>
      <c r="J13" s="779"/>
      <c r="K13" s="1860"/>
      <c r="L13" s="1856"/>
      <c r="M13" s="1856"/>
      <c r="N13" s="1856"/>
      <c r="O13" s="1856"/>
      <c r="P13" s="1856"/>
      <c r="Q13" s="1856"/>
    </row>
    <row r="14" spans="1:29">
      <c r="A14" s="1857"/>
      <c r="B14" s="1857"/>
      <c r="D14" s="1225"/>
      <c r="E14" s="700"/>
      <c r="F14" s="700"/>
      <c r="G14" s="1761"/>
      <c r="H14" s="1761"/>
      <c r="K14" s="1761"/>
      <c r="L14" s="1856"/>
      <c r="M14" s="1856"/>
      <c r="N14" s="1856"/>
      <c r="O14" s="1856"/>
      <c r="P14" s="1856"/>
      <c r="Q14" s="1856"/>
    </row>
    <row r="15" spans="1:29">
      <c r="A15" s="1857"/>
      <c r="B15" s="1857"/>
      <c r="C15" s="1225"/>
      <c r="D15" s="1225"/>
      <c r="E15" s="700"/>
      <c r="F15" s="700"/>
      <c r="G15" s="1761"/>
      <c r="H15" s="1761"/>
      <c r="K15" s="1761"/>
      <c r="L15" s="1856"/>
      <c r="M15" s="1856"/>
      <c r="N15" s="1856"/>
      <c r="O15" s="1856"/>
      <c r="P15" s="1864"/>
      <c r="Q15" s="1856"/>
    </row>
    <row r="16" spans="1:29">
      <c r="A16" s="1857">
        <v>1</v>
      </c>
      <c r="B16" s="1857"/>
      <c r="C16" s="1225" t="s">
        <v>197</v>
      </c>
      <c r="D16" s="1865" t="s">
        <v>1344</v>
      </c>
      <c r="E16" s="700"/>
      <c r="F16" s="700"/>
      <c r="G16" s="1866">
        <f>+P16</f>
        <v>137479.5</v>
      </c>
      <c r="H16" s="1761"/>
      <c r="K16" s="1761"/>
      <c r="L16" s="1856">
        <v>1</v>
      </c>
      <c r="M16" s="1225" t="s">
        <v>197</v>
      </c>
      <c r="O16" s="1865" t="s">
        <v>135</v>
      </c>
      <c r="P16" s="1867">
        <f>+(Q16+AC16)/2</f>
        <v>137479.5</v>
      </c>
      <c r="Q16" s="1065">
        <v>107954</v>
      </c>
      <c r="R16" s="1223"/>
      <c r="S16" s="1223"/>
      <c r="T16" s="1223"/>
      <c r="U16" s="1223"/>
      <c r="V16" s="1223"/>
      <c r="W16" s="1223"/>
      <c r="X16" s="1223"/>
      <c r="Y16" s="1223"/>
      <c r="Z16" s="1223"/>
      <c r="AA16" s="1223"/>
      <c r="AB16" s="1223"/>
      <c r="AC16" s="1065">
        <v>167005</v>
      </c>
    </row>
    <row r="17" spans="1:31">
      <c r="A17" s="1857">
        <f>+A16+1</f>
        <v>2</v>
      </c>
      <c r="B17" s="1857"/>
      <c r="C17" s="1225" t="s">
        <v>198</v>
      </c>
      <c r="D17" s="1865" t="s">
        <v>1346</v>
      </c>
      <c r="E17" s="700"/>
      <c r="F17" s="700"/>
      <c r="G17" s="1866">
        <f t="shared" ref="G17:G18" si="0">+P17</f>
        <v>93045.5</v>
      </c>
      <c r="H17" s="1863"/>
      <c r="J17" s="779"/>
      <c r="K17" s="1860"/>
      <c r="L17" s="1857">
        <f>+L16+1</f>
        <v>2</v>
      </c>
      <c r="M17" s="1225" t="s">
        <v>198</v>
      </c>
      <c r="O17" s="1865" t="s">
        <v>136</v>
      </c>
      <c r="P17" s="1867">
        <f t="shared" ref="P17:P18" si="1">+(Q17+AC17)/2</f>
        <v>93045.5</v>
      </c>
      <c r="Q17" s="1797">
        <v>77735</v>
      </c>
      <c r="R17" s="1868"/>
      <c r="S17" s="1868"/>
      <c r="T17" s="1868"/>
      <c r="U17" s="1868"/>
      <c r="V17" s="1868"/>
      <c r="W17" s="1868"/>
      <c r="X17" s="1868"/>
      <c r="Y17" s="1868"/>
      <c r="Z17" s="1868"/>
      <c r="AA17" s="1868"/>
      <c r="AB17" s="1868"/>
      <c r="AC17" s="1797">
        <v>108356</v>
      </c>
    </row>
    <row r="18" spans="1:31">
      <c r="A18" s="1857">
        <f>+A17+1</f>
        <v>3</v>
      </c>
      <c r="B18" s="1857"/>
      <c r="C18" s="1225" t="s">
        <v>1343</v>
      </c>
      <c r="D18" s="1865" t="s">
        <v>1345</v>
      </c>
      <c r="E18" s="700"/>
      <c r="F18" s="700"/>
      <c r="G18" s="1866">
        <f t="shared" si="0"/>
        <v>0</v>
      </c>
      <c r="H18" s="1863"/>
      <c r="J18" s="779"/>
      <c r="K18" s="1860"/>
      <c r="L18" s="1857">
        <f>+L17+1</f>
        <v>3</v>
      </c>
      <c r="M18" s="1225" t="s">
        <v>1343</v>
      </c>
      <c r="O18" s="1865" t="s">
        <v>137</v>
      </c>
      <c r="P18" s="1867">
        <f t="shared" si="1"/>
        <v>0</v>
      </c>
      <c r="Q18" s="1797">
        <v>0</v>
      </c>
      <c r="R18" s="1868"/>
      <c r="S18" s="1868"/>
      <c r="T18" s="1868"/>
      <c r="U18" s="1868"/>
      <c r="V18" s="1868"/>
      <c r="W18" s="1868"/>
      <c r="X18" s="1868"/>
      <c r="Y18" s="1868"/>
      <c r="Z18" s="1868"/>
      <c r="AA18" s="1868"/>
      <c r="AB18" s="1868"/>
      <c r="AC18" s="1797">
        <v>0</v>
      </c>
    </row>
    <row r="19" spans="1:31">
      <c r="A19" s="1846"/>
      <c r="G19" s="1866"/>
      <c r="K19" s="1860"/>
      <c r="M19" s="1856"/>
      <c r="N19" s="1856"/>
      <c r="O19" s="1856"/>
      <c r="P19" s="1864"/>
      <c r="Q19" s="1856"/>
    </row>
    <row r="20" spans="1:31" ht="18">
      <c r="A20" s="1857"/>
      <c r="B20" s="2475" t="s">
        <v>1288</v>
      </c>
      <c r="C20" s="2475"/>
      <c r="D20" s="2475"/>
      <c r="E20" s="2475"/>
      <c r="F20" s="2475"/>
      <c r="G20" s="2475"/>
      <c r="H20" s="2475"/>
      <c r="I20" s="2475"/>
      <c r="J20" s="2475"/>
      <c r="K20" s="2475"/>
      <c r="L20" s="1857"/>
      <c r="M20" s="1856"/>
      <c r="N20" s="1856"/>
      <c r="O20" s="1856"/>
      <c r="P20" s="1856"/>
      <c r="Q20" s="1856"/>
    </row>
    <row r="21" spans="1:31" ht="25.5" customHeight="1">
      <c r="A21" s="1857"/>
      <c r="B21" s="1226"/>
      <c r="C21" s="1761"/>
      <c r="D21" s="1761"/>
      <c r="E21" s="1227"/>
      <c r="G21" s="1227" t="s">
        <v>234</v>
      </c>
      <c r="I21" s="1226"/>
      <c r="J21" s="1226"/>
      <c r="K21" s="791"/>
      <c r="L21" s="1857"/>
      <c r="M21" s="2475" t="s">
        <v>1288</v>
      </c>
      <c r="N21" s="2475"/>
      <c r="O21" s="2475"/>
      <c r="P21" s="2475"/>
      <c r="Q21" s="2475"/>
      <c r="R21" s="2475"/>
      <c r="S21" s="2475"/>
      <c r="T21" s="2475"/>
      <c r="U21" s="2475"/>
      <c r="V21" s="2475"/>
      <c r="W21" s="2475"/>
      <c r="X21" s="2475"/>
      <c r="Y21" s="2475"/>
      <c r="Z21" s="2475"/>
      <c r="AA21" s="2475"/>
      <c r="AB21" s="2475"/>
      <c r="AC21" s="2475"/>
    </row>
    <row r="22" spans="1:31" ht="25.5">
      <c r="A22" s="1857"/>
      <c r="B22" s="1869"/>
      <c r="C22" s="1229"/>
      <c r="D22" s="1209" t="s">
        <v>1389</v>
      </c>
      <c r="E22" s="1226" t="s">
        <v>200</v>
      </c>
      <c r="G22" s="1226" t="s">
        <v>257</v>
      </c>
      <c r="I22" s="1226" t="s">
        <v>195</v>
      </c>
      <c r="J22" s="1226" t="s">
        <v>302</v>
      </c>
      <c r="K22" s="791"/>
      <c r="L22" s="1857"/>
      <c r="M22" s="1870" t="s">
        <v>1295</v>
      </c>
      <c r="N22" s="1856"/>
      <c r="O22" s="1856"/>
      <c r="P22" s="1856"/>
      <c r="Q22" s="2569" t="s">
        <v>1289</v>
      </c>
      <c r="R22" s="2569"/>
      <c r="S22" s="2569"/>
      <c r="T22" s="2569"/>
      <c r="U22" s="2569"/>
      <c r="V22" s="2569"/>
      <c r="W22" s="2569"/>
      <c r="X22" s="2569"/>
      <c r="Y22" s="2569"/>
      <c r="Z22" s="2569"/>
      <c r="AA22" s="2569"/>
      <c r="AB22" s="2569"/>
      <c r="AC22" s="2569"/>
    </row>
    <row r="23" spans="1:31" ht="25.5">
      <c r="A23" s="1209" t="s">
        <v>1292</v>
      </c>
      <c r="B23" s="1202" t="s">
        <v>237</v>
      </c>
      <c r="C23" s="1202" t="s">
        <v>308</v>
      </c>
      <c r="D23" s="1209" t="str">
        <f>"Source - Page 2 of 2. Col "&amp;P7</f>
        <v>Source - Page 2 of 2. Col (D)</v>
      </c>
      <c r="E23" s="1202" t="s">
        <v>180</v>
      </c>
      <c r="G23" s="1202" t="s">
        <v>196</v>
      </c>
      <c r="I23" s="1202" t="s">
        <v>196</v>
      </c>
      <c r="J23" s="1202" t="s">
        <v>196</v>
      </c>
      <c r="K23" s="1202" t="s">
        <v>219</v>
      </c>
      <c r="L23" s="1202" t="s">
        <v>1292</v>
      </c>
      <c r="M23" s="1202" t="s">
        <v>237</v>
      </c>
      <c r="N23" s="1202" t="s">
        <v>308</v>
      </c>
      <c r="O23" s="1858"/>
      <c r="P23" s="1861" t="s">
        <v>1388</v>
      </c>
      <c r="Q23" s="1862" t="str">
        <f>"December "&amp;'SWEPCO TCOS'!$N$2-1</f>
        <v>December 2017</v>
      </c>
      <c r="R23" s="1862" t="str">
        <f>"January "&amp;'SWEPCO TCOS'!$N$2</f>
        <v>January 2018</v>
      </c>
      <c r="S23" s="1862" t="str">
        <f>"February "&amp;'SWEPCO TCOS'!$N$2</f>
        <v>February 2018</v>
      </c>
      <c r="T23" s="1862" t="str">
        <f>"March "&amp;'SWEPCO TCOS'!$N$2</f>
        <v>March 2018</v>
      </c>
      <c r="U23" s="1862" t="str">
        <f>"April "&amp;'SWEPCO TCOS'!$N$2</f>
        <v>April 2018</v>
      </c>
      <c r="V23" s="1862" t="str">
        <f>"May "&amp;'SWEPCO TCOS'!$N$2</f>
        <v>May 2018</v>
      </c>
      <c r="W23" s="1862" t="str">
        <f>"June "&amp;'SWEPCO TCOS'!$N$2</f>
        <v>June 2018</v>
      </c>
      <c r="X23" s="1862" t="str">
        <f>"July "&amp;'SWEPCO TCOS'!$N$2</f>
        <v>July 2018</v>
      </c>
      <c r="Y23" s="1862" t="str">
        <f>"August "&amp;'SWEPCO TCOS'!$N$2</f>
        <v>August 2018</v>
      </c>
      <c r="Z23" s="1862" t="str">
        <f>"September "&amp;'SWEPCO TCOS'!$N$2</f>
        <v>September 2018</v>
      </c>
      <c r="AA23" s="1862" t="str">
        <f>"October "&amp;'SWEPCO TCOS'!$N$2</f>
        <v>October 2018</v>
      </c>
      <c r="AB23" s="1862" t="str">
        <f>"November "&amp;'SWEPCO TCOS'!$N$2</f>
        <v>November 2018</v>
      </c>
      <c r="AC23" s="1862" t="str">
        <f>"December "&amp;'SWEPCO TCOS'!$N$2</f>
        <v>December 2018</v>
      </c>
      <c r="AD23" s="1856"/>
      <c r="AE23" s="1856"/>
    </row>
    <row r="24" spans="1:31">
      <c r="A24" s="1857"/>
      <c r="B24" s="1869"/>
      <c r="C24" s="1761"/>
      <c r="D24" s="1761"/>
      <c r="E24" s="1761"/>
      <c r="G24" s="1761"/>
      <c r="I24" s="1761"/>
      <c r="J24" s="1761"/>
      <c r="K24" s="791"/>
      <c r="L24" s="1857"/>
      <c r="M24" s="1856"/>
      <c r="N24" s="1856"/>
      <c r="O24" s="1856"/>
      <c r="P24" s="1856"/>
      <c r="Q24" s="1856"/>
    </row>
    <row r="25" spans="1:31" ht="51">
      <c r="A25" s="846">
        <f>+A18+1</f>
        <v>4</v>
      </c>
      <c r="B25" s="1232" t="s">
        <v>602</v>
      </c>
      <c r="C25" s="1232" t="s">
        <v>603</v>
      </c>
      <c r="D25" s="1866">
        <f>+P25</f>
        <v>1328986</v>
      </c>
      <c r="E25" s="1866"/>
      <c r="F25" s="1871" t="e">
        <f>+#REF!</f>
        <v>#REF!</v>
      </c>
      <c r="G25" s="1815"/>
      <c r="H25" s="1871" t="e">
        <f>+#REF!</f>
        <v>#REF!</v>
      </c>
      <c r="I25" s="1872">
        <v>617218</v>
      </c>
      <c r="J25" s="1872">
        <v>711768</v>
      </c>
      <c r="K25" s="1236" t="s">
        <v>1804</v>
      </c>
      <c r="L25" s="846">
        <f>+L18+1</f>
        <v>4</v>
      </c>
      <c r="M25" s="1232" t="str">
        <f>+B25</f>
        <v>1650001</v>
      </c>
      <c r="N25" s="1232" t="str">
        <f>+C25</f>
        <v>Prepaid Insurance</v>
      </c>
      <c r="O25" s="1232"/>
      <c r="P25" s="1867">
        <f t="shared" ref="P25:P49" si="2">+(Q25+AC25)/2</f>
        <v>1328986</v>
      </c>
      <c r="Q25" s="1065">
        <v>1377548</v>
      </c>
      <c r="R25" s="1065"/>
      <c r="S25" s="1065"/>
      <c r="T25" s="1065"/>
      <c r="U25" s="1065"/>
      <c r="V25" s="1065"/>
      <c r="W25" s="1065"/>
      <c r="X25" s="1065"/>
      <c r="Y25" s="1065"/>
      <c r="Z25" s="1065"/>
      <c r="AA25" s="1065"/>
      <c r="AB25" s="1065"/>
      <c r="AC25" s="1873">
        <v>1280424</v>
      </c>
    </row>
    <row r="26" spans="1:31">
      <c r="A26" s="846">
        <f t="shared" ref="A26:A49" si="3">+A25+1</f>
        <v>5</v>
      </c>
      <c r="B26" s="1232" t="s">
        <v>795</v>
      </c>
      <c r="C26" s="1232" t="s">
        <v>796</v>
      </c>
      <c r="D26" s="1866">
        <f t="shared" ref="D26:D47" si="4">+P26</f>
        <v>0</v>
      </c>
      <c r="E26" s="1866"/>
      <c r="F26" s="1871" t="e">
        <f>+#REF!</f>
        <v>#REF!</v>
      </c>
      <c r="G26" s="1815"/>
      <c r="H26" s="1871" t="e">
        <f>+#REF!</f>
        <v>#REF!</v>
      </c>
      <c r="I26" s="1815"/>
      <c r="J26" s="1815"/>
      <c r="K26" s="1236"/>
      <c r="L26" s="846">
        <f t="shared" ref="L26:L49" si="5">+L25+1</f>
        <v>5</v>
      </c>
      <c r="M26" s="1232" t="str">
        <f t="shared" ref="M26:M47" si="6">+B26</f>
        <v>1650004</v>
      </c>
      <c r="N26" s="1232" t="str">
        <f t="shared" ref="N26:N47" si="7">+C26</f>
        <v>Prepaid Interest</v>
      </c>
      <c r="O26" s="1232"/>
      <c r="P26" s="1867">
        <f t="shared" si="2"/>
        <v>0</v>
      </c>
      <c r="Q26" s="1065">
        <v>0</v>
      </c>
      <c r="R26" s="1223"/>
      <c r="S26" s="1223"/>
      <c r="T26" s="1223"/>
      <c r="U26" s="1223"/>
      <c r="V26" s="1223"/>
      <c r="W26" s="1223"/>
      <c r="X26" s="1223"/>
      <c r="Y26" s="1223"/>
      <c r="Z26" s="1223"/>
      <c r="AA26" s="1223"/>
      <c r="AB26" s="1223"/>
      <c r="AC26" s="1873">
        <v>0</v>
      </c>
    </row>
    <row r="27" spans="1:31">
      <c r="A27" s="846">
        <f t="shared" si="3"/>
        <v>6</v>
      </c>
      <c r="B27" s="1874">
        <v>1650005</v>
      </c>
      <c r="C27" s="1232" t="s">
        <v>605</v>
      </c>
      <c r="D27" s="1866">
        <f t="shared" si="4"/>
        <v>0</v>
      </c>
      <c r="E27" s="1866">
        <f>+D27</f>
        <v>0</v>
      </c>
      <c r="F27" s="1871" t="e">
        <f>+#REF!</f>
        <v>#REF!</v>
      </c>
      <c r="G27" s="1815"/>
      <c r="H27" s="1871" t="e">
        <f>+#REF!</f>
        <v>#REF!</v>
      </c>
      <c r="I27" s="1815"/>
      <c r="J27" s="1815"/>
      <c r="K27" s="1236" t="s">
        <v>1788</v>
      </c>
      <c r="L27" s="846">
        <f t="shared" si="5"/>
        <v>6</v>
      </c>
      <c r="M27" s="1238">
        <f t="shared" si="6"/>
        <v>1650005</v>
      </c>
      <c r="N27" s="1232" t="str">
        <f t="shared" si="7"/>
        <v>Prepaid Employee Benefits</v>
      </c>
      <c r="O27" s="1232"/>
      <c r="P27" s="1867">
        <f t="shared" si="2"/>
        <v>0</v>
      </c>
      <c r="Q27" s="1065">
        <v>0</v>
      </c>
      <c r="R27" s="1223"/>
      <c r="S27" s="1223"/>
      <c r="T27" s="1223"/>
      <c r="U27" s="1223"/>
      <c r="V27" s="1223"/>
      <c r="W27" s="1223"/>
      <c r="X27" s="1223"/>
      <c r="Y27" s="1223"/>
      <c r="Z27" s="1223"/>
      <c r="AA27" s="1223"/>
      <c r="AB27" s="1223"/>
      <c r="AC27" s="1873">
        <v>0</v>
      </c>
    </row>
    <row r="28" spans="1:31" ht="63.75">
      <c r="A28" s="846">
        <f t="shared" si="3"/>
        <v>7</v>
      </c>
      <c r="B28" s="1232" t="s">
        <v>606</v>
      </c>
      <c r="C28" s="1232" t="s">
        <v>607</v>
      </c>
      <c r="D28" s="1866">
        <f t="shared" si="4"/>
        <v>11147755</v>
      </c>
      <c r="E28" s="1866">
        <f>+D28</f>
        <v>11147755</v>
      </c>
      <c r="F28" s="1871" t="e">
        <f>+#REF!</f>
        <v>#REF!</v>
      </c>
      <c r="G28" s="1815"/>
      <c r="H28" s="1871" t="e">
        <f>+#REF!</f>
        <v>#REF!</v>
      </c>
      <c r="I28" s="1815"/>
      <c r="J28" s="1815"/>
      <c r="K28" s="1236" t="s">
        <v>1805</v>
      </c>
      <c r="L28" s="846">
        <f t="shared" si="5"/>
        <v>7</v>
      </c>
      <c r="M28" s="1238" t="str">
        <f t="shared" si="6"/>
        <v>1650006</v>
      </c>
      <c r="N28" s="1232" t="str">
        <f t="shared" si="7"/>
        <v>Other Prepayments</v>
      </c>
      <c r="O28" s="1232"/>
      <c r="P28" s="1867">
        <f t="shared" si="2"/>
        <v>11147755</v>
      </c>
      <c r="Q28" s="1065">
        <v>16474492</v>
      </c>
      <c r="R28" s="1223"/>
      <c r="S28" s="1223"/>
      <c r="T28" s="1223"/>
      <c r="U28" s="1223"/>
      <c r="V28" s="1223"/>
      <c r="W28" s="1223"/>
      <c r="X28" s="1223"/>
      <c r="Y28" s="1223"/>
      <c r="Z28" s="1223"/>
      <c r="AA28" s="1223"/>
      <c r="AB28" s="1223"/>
      <c r="AC28" s="1873">
        <v>5821018</v>
      </c>
    </row>
    <row r="29" spans="1:31">
      <c r="A29" s="846">
        <f t="shared" si="3"/>
        <v>8</v>
      </c>
      <c r="B29" s="1232" t="s">
        <v>608</v>
      </c>
      <c r="C29" s="1232" t="s">
        <v>1798</v>
      </c>
      <c r="D29" s="1815">
        <f t="shared" si="4"/>
        <v>169463.5</v>
      </c>
      <c r="E29" s="1815">
        <f>+D29</f>
        <v>169463.5</v>
      </c>
      <c r="F29" s="1871" t="e">
        <f>+#REF!</f>
        <v>#REF!</v>
      </c>
      <c r="G29" s="1815"/>
      <c r="H29" s="1871" t="e">
        <f>+#REF!</f>
        <v>#REF!</v>
      </c>
      <c r="I29" s="1815"/>
      <c r="J29" s="1815"/>
      <c r="K29" s="1875" t="s">
        <v>1806</v>
      </c>
      <c r="L29" s="846">
        <f t="shared" si="5"/>
        <v>8</v>
      </c>
      <c r="M29" s="1238" t="str">
        <f t="shared" si="6"/>
        <v>1650009</v>
      </c>
      <c r="N29" s="1232" t="str">
        <f t="shared" si="7"/>
        <v>Prepaid Carry Cost</v>
      </c>
      <c r="O29" s="1232"/>
      <c r="P29" s="1867">
        <f t="shared" si="2"/>
        <v>169463.5</v>
      </c>
      <c r="Q29" s="1065">
        <v>129133</v>
      </c>
      <c r="R29" s="1223"/>
      <c r="S29" s="1223"/>
      <c r="T29" s="1223"/>
      <c r="U29" s="1223"/>
      <c r="V29" s="1223"/>
      <c r="W29" s="1223"/>
      <c r="X29" s="1223"/>
      <c r="Y29" s="1223"/>
      <c r="Z29" s="1223"/>
      <c r="AA29" s="1223"/>
      <c r="AB29" s="1223"/>
      <c r="AC29" s="1873">
        <v>209794</v>
      </c>
    </row>
    <row r="30" spans="1:31">
      <c r="A30" s="846">
        <f t="shared" si="3"/>
        <v>9</v>
      </c>
      <c r="B30" s="1232" t="s">
        <v>609</v>
      </c>
      <c r="C30" s="1232" t="s">
        <v>610</v>
      </c>
      <c r="D30" s="1876">
        <f t="shared" si="4"/>
        <v>91572614</v>
      </c>
      <c r="E30" s="1876"/>
      <c r="F30" s="1871"/>
      <c r="G30" s="1876"/>
      <c r="H30" s="1877"/>
      <c r="I30" s="1876"/>
      <c r="J30" s="1876">
        <f>D30</f>
        <v>91572614</v>
      </c>
      <c r="K30" s="1875" t="s">
        <v>1791</v>
      </c>
      <c r="L30" s="846">
        <f t="shared" si="5"/>
        <v>9</v>
      </c>
      <c r="M30" s="1238" t="str">
        <f t="shared" si="6"/>
        <v>1650010</v>
      </c>
      <c r="N30" s="1232" t="str">
        <f t="shared" si="7"/>
        <v>Prepaid Pension Benefits</v>
      </c>
      <c r="O30" s="1232"/>
      <c r="P30" s="1867">
        <f t="shared" si="2"/>
        <v>91572614</v>
      </c>
      <c r="Q30" s="1065">
        <v>95630493</v>
      </c>
      <c r="R30" s="1223"/>
      <c r="S30" s="1223"/>
      <c r="T30" s="1223"/>
      <c r="U30" s="1223"/>
      <c r="V30" s="1223"/>
      <c r="W30" s="1223"/>
      <c r="X30" s="1223"/>
      <c r="Y30" s="1223"/>
      <c r="Z30" s="1223"/>
      <c r="AA30" s="1223"/>
      <c r="AB30" s="1223"/>
      <c r="AC30" s="1878">
        <v>87514735</v>
      </c>
    </row>
    <row r="31" spans="1:31">
      <c r="A31" s="846">
        <f t="shared" si="3"/>
        <v>10</v>
      </c>
      <c r="B31" s="1874">
        <v>165001118</v>
      </c>
      <c r="C31" s="1232" t="s">
        <v>611</v>
      </c>
      <c r="D31" s="1815">
        <f t="shared" si="4"/>
        <v>788800</v>
      </c>
      <c r="E31" s="1815"/>
      <c r="F31" s="1871"/>
      <c r="G31" s="1815"/>
      <c r="H31" s="1877"/>
      <c r="I31" s="1815">
        <f>D31</f>
        <v>788800</v>
      </c>
      <c r="J31" s="1815"/>
      <c r="K31" s="1875" t="s">
        <v>611</v>
      </c>
      <c r="L31" s="846">
        <f t="shared" si="5"/>
        <v>10</v>
      </c>
      <c r="M31" s="1238">
        <f t="shared" si="6"/>
        <v>165001118</v>
      </c>
      <c r="N31" s="1232" t="str">
        <f t="shared" si="7"/>
        <v>Prepaid Sales Taxes</v>
      </c>
      <c r="O31" s="1232"/>
      <c r="P31" s="1867">
        <f t="shared" si="2"/>
        <v>788800</v>
      </c>
      <c r="Q31" s="1065">
        <v>803600</v>
      </c>
      <c r="R31" s="1223"/>
      <c r="S31" s="1223"/>
      <c r="T31" s="1223"/>
      <c r="U31" s="1223"/>
      <c r="V31" s="1223"/>
      <c r="W31" s="1223"/>
      <c r="X31" s="1223"/>
      <c r="Y31" s="1223"/>
      <c r="Z31" s="1223"/>
      <c r="AA31" s="1223"/>
      <c r="AB31" s="1223"/>
      <c r="AC31" s="1873">
        <v>774000</v>
      </c>
    </row>
    <row r="32" spans="1:31">
      <c r="A32" s="846">
        <f t="shared" si="3"/>
        <v>11</v>
      </c>
      <c r="B32" s="1874">
        <v>165001218</v>
      </c>
      <c r="C32" s="1232" t="s">
        <v>612</v>
      </c>
      <c r="D32" s="1815">
        <f t="shared" si="4"/>
        <v>10175</v>
      </c>
      <c r="E32" s="1815"/>
      <c r="F32" s="1871"/>
      <c r="G32" s="1815"/>
      <c r="H32" s="1877"/>
      <c r="I32" s="1879">
        <f>+D32</f>
        <v>10175</v>
      </c>
      <c r="J32" s="1879"/>
      <c r="K32" s="1875" t="s">
        <v>612</v>
      </c>
      <c r="L32" s="846">
        <f t="shared" si="5"/>
        <v>11</v>
      </c>
      <c r="M32" s="1238">
        <f t="shared" si="6"/>
        <v>165001218</v>
      </c>
      <c r="N32" s="1232" t="str">
        <f t="shared" si="7"/>
        <v>Prepaid Use Taxes</v>
      </c>
      <c r="O32" s="1232"/>
      <c r="P32" s="1867">
        <f t="shared" si="2"/>
        <v>10175</v>
      </c>
      <c r="Q32" s="1065">
        <v>20087</v>
      </c>
      <c r="R32" s="1223"/>
      <c r="S32" s="1223"/>
      <c r="T32" s="1223"/>
      <c r="U32" s="1223"/>
      <c r="V32" s="1223"/>
      <c r="W32" s="1223"/>
      <c r="X32" s="1223"/>
      <c r="Y32" s="1223"/>
      <c r="Z32" s="1223"/>
      <c r="AA32" s="1223"/>
      <c r="AB32" s="1223"/>
      <c r="AC32" s="1873">
        <v>263</v>
      </c>
    </row>
    <row r="33" spans="1:29">
      <c r="A33" s="846">
        <f t="shared" si="3"/>
        <v>12</v>
      </c>
      <c r="B33" s="1238">
        <v>165001318</v>
      </c>
      <c r="C33" s="1232" t="s">
        <v>1799</v>
      </c>
      <c r="D33" s="1815">
        <f t="shared" si="4"/>
        <v>54103.5</v>
      </c>
      <c r="E33" s="1815">
        <f>D33</f>
        <v>54103.5</v>
      </c>
      <c r="F33" s="1871"/>
      <c r="G33" s="1815"/>
      <c r="H33" s="1877"/>
      <c r="I33" s="1815"/>
      <c r="J33" s="1815"/>
      <c r="K33" s="1875" t="s">
        <v>1799</v>
      </c>
      <c r="L33" s="846">
        <f t="shared" si="5"/>
        <v>12</v>
      </c>
      <c r="M33" s="1238">
        <f t="shared" si="6"/>
        <v>165001318</v>
      </c>
      <c r="N33" s="1232" t="str">
        <f t="shared" si="7"/>
        <v>Prepaid Local Franchise Taxes</v>
      </c>
      <c r="O33" s="1232"/>
      <c r="P33" s="1867">
        <f t="shared" si="2"/>
        <v>54103.5</v>
      </c>
      <c r="Q33" s="1065">
        <v>57865</v>
      </c>
      <c r="R33" s="1223"/>
      <c r="S33" s="1223"/>
      <c r="T33" s="1223"/>
      <c r="U33" s="1223"/>
      <c r="V33" s="1223"/>
      <c r="W33" s="1223"/>
      <c r="X33" s="1223"/>
      <c r="Y33" s="1223"/>
      <c r="Z33" s="1223"/>
      <c r="AA33" s="1223"/>
      <c r="AB33" s="1223"/>
      <c r="AC33" s="1873">
        <v>50342</v>
      </c>
    </row>
    <row r="34" spans="1:29" ht="38.25">
      <c r="A34" s="846">
        <f t="shared" si="3"/>
        <v>13</v>
      </c>
      <c r="B34" s="1245" t="s">
        <v>613</v>
      </c>
      <c r="C34" s="1232" t="s">
        <v>614</v>
      </c>
      <c r="D34" s="1815">
        <f t="shared" si="4"/>
        <v>-91572614</v>
      </c>
      <c r="E34" s="1815">
        <f>+D34</f>
        <v>-91572614</v>
      </c>
      <c r="F34" s="1871"/>
      <c r="G34" s="1815"/>
      <c r="H34" s="1877"/>
      <c r="I34" s="1880"/>
      <c r="J34" s="1880"/>
      <c r="K34" s="1236" t="s">
        <v>1792</v>
      </c>
      <c r="L34" s="846">
        <f t="shared" si="5"/>
        <v>13</v>
      </c>
      <c r="M34" s="1238" t="str">
        <f t="shared" si="6"/>
        <v>1650014</v>
      </c>
      <c r="N34" s="1232" t="str">
        <f t="shared" si="7"/>
        <v>FAS 158 Qual Contra Asset</v>
      </c>
      <c r="O34" s="1232"/>
      <c r="P34" s="1867">
        <f t="shared" si="2"/>
        <v>-91572614</v>
      </c>
      <c r="Q34" s="1065">
        <v>-95630493</v>
      </c>
      <c r="R34" s="1223"/>
      <c r="S34" s="1223"/>
      <c r="T34" s="1223"/>
      <c r="U34" s="1223"/>
      <c r="V34" s="1223"/>
      <c r="W34" s="1223"/>
      <c r="X34" s="1223"/>
      <c r="Y34" s="1223"/>
      <c r="Z34" s="1223"/>
      <c r="AA34" s="1223"/>
      <c r="AB34" s="1223"/>
      <c r="AC34" s="1873">
        <v>-87514735</v>
      </c>
    </row>
    <row r="35" spans="1:29">
      <c r="A35" s="846">
        <f t="shared" si="3"/>
        <v>14</v>
      </c>
      <c r="B35" s="1881">
        <v>1650016</v>
      </c>
      <c r="C35" s="1232" t="s">
        <v>797</v>
      </c>
      <c r="D35" s="1815">
        <f t="shared" si="4"/>
        <v>0</v>
      </c>
      <c r="E35" s="1815"/>
      <c r="F35" s="1871"/>
      <c r="G35" s="1815"/>
      <c r="H35" s="1877"/>
      <c r="I35" s="1872"/>
      <c r="J35" s="1872"/>
      <c r="K35" s="1875" t="s">
        <v>1793</v>
      </c>
      <c r="L35" s="846">
        <f t="shared" si="5"/>
        <v>14</v>
      </c>
      <c r="M35" s="1238">
        <f t="shared" si="6"/>
        <v>1650016</v>
      </c>
      <c r="N35" s="1232" t="str">
        <f t="shared" si="7"/>
        <v>FAS 112 ASSETS</v>
      </c>
      <c r="O35" s="1232"/>
      <c r="P35" s="1867">
        <f t="shared" si="2"/>
        <v>0</v>
      </c>
      <c r="Q35" s="1065">
        <v>0</v>
      </c>
      <c r="R35" s="1223"/>
      <c r="S35" s="1223"/>
      <c r="T35" s="1223"/>
      <c r="U35" s="1223"/>
      <c r="V35" s="1223"/>
      <c r="W35" s="1223"/>
      <c r="X35" s="1223"/>
      <c r="Y35" s="1223"/>
      <c r="Z35" s="1223"/>
      <c r="AA35" s="1223"/>
      <c r="AB35" s="1223"/>
      <c r="AC35" s="1873">
        <v>0</v>
      </c>
    </row>
    <row r="36" spans="1:29">
      <c r="A36" s="846">
        <f t="shared" si="3"/>
        <v>15</v>
      </c>
      <c r="B36" s="1881" t="s">
        <v>1800</v>
      </c>
      <c r="C36" s="1232" t="s">
        <v>1801</v>
      </c>
      <c r="D36" s="1815">
        <f t="shared" si="4"/>
        <v>4537500</v>
      </c>
      <c r="E36" s="1815">
        <f>+D36</f>
        <v>4537500</v>
      </c>
      <c r="F36" s="1871"/>
      <c r="G36" s="1815"/>
      <c r="H36" s="1877"/>
      <c r="I36" s="1815">
        <v>9075000</v>
      </c>
      <c r="J36" s="1815"/>
      <c r="K36" s="1063" t="s">
        <v>1801</v>
      </c>
      <c r="L36" s="846">
        <f t="shared" si="5"/>
        <v>15</v>
      </c>
      <c r="M36" s="1238" t="str">
        <f t="shared" si="6"/>
        <v>1650017</v>
      </c>
      <c r="N36" s="1232" t="str">
        <f t="shared" si="7"/>
        <v>Prepayment - Coal</v>
      </c>
      <c r="O36" s="1232"/>
      <c r="P36" s="1867">
        <f t="shared" si="2"/>
        <v>4537500</v>
      </c>
      <c r="Q36" s="1065">
        <v>9075000</v>
      </c>
      <c r="R36" s="1223"/>
      <c r="S36" s="1223"/>
      <c r="T36" s="1223"/>
      <c r="U36" s="1223"/>
      <c r="V36" s="1223"/>
      <c r="W36" s="1223"/>
      <c r="X36" s="1223"/>
      <c r="Y36" s="1223"/>
      <c r="Z36" s="1223"/>
      <c r="AA36" s="1223"/>
      <c r="AB36" s="1223"/>
      <c r="AC36" s="1873">
        <v>0</v>
      </c>
    </row>
    <row r="37" spans="1:29" ht="25.5">
      <c r="A37" s="846">
        <f t="shared" si="3"/>
        <v>16</v>
      </c>
      <c r="B37" s="1881">
        <v>1650021</v>
      </c>
      <c r="C37" s="1232" t="s">
        <v>615</v>
      </c>
      <c r="D37" s="1815">
        <f t="shared" si="4"/>
        <v>1225603.5</v>
      </c>
      <c r="E37" s="1815">
        <v>0</v>
      </c>
      <c r="F37" s="1871"/>
      <c r="G37" s="1815"/>
      <c r="H37" s="1877"/>
      <c r="I37" s="1872">
        <v>469658</v>
      </c>
      <c r="J37" s="1872">
        <v>755945.5</v>
      </c>
      <c r="K37" s="1244" t="s">
        <v>1807</v>
      </c>
      <c r="L37" s="846">
        <f t="shared" si="5"/>
        <v>16</v>
      </c>
      <c r="M37" s="1238">
        <f t="shared" si="6"/>
        <v>1650021</v>
      </c>
      <c r="N37" s="1232" t="str">
        <f t="shared" si="7"/>
        <v>Prepaid Insurance - EIS</v>
      </c>
      <c r="O37" s="1232"/>
      <c r="P37" s="1867">
        <f t="shared" si="2"/>
        <v>1225603.5</v>
      </c>
      <c r="Q37" s="1065">
        <v>980734</v>
      </c>
      <c r="R37" s="1223"/>
      <c r="S37" s="1223"/>
      <c r="T37" s="1223"/>
      <c r="U37" s="1223"/>
      <c r="V37" s="1223"/>
      <c r="W37" s="1223"/>
      <c r="X37" s="1223"/>
      <c r="Y37" s="1223"/>
      <c r="Z37" s="1223"/>
      <c r="AA37" s="1223"/>
      <c r="AB37" s="1223"/>
      <c r="AC37" s="1873">
        <v>1470473</v>
      </c>
    </row>
    <row r="38" spans="1:29">
      <c r="A38" s="846">
        <f t="shared" si="3"/>
        <v>17</v>
      </c>
      <c r="B38" s="1238">
        <v>1650023</v>
      </c>
      <c r="C38" s="1232" t="s">
        <v>798</v>
      </c>
      <c r="D38" s="1815">
        <f t="shared" si="4"/>
        <v>198917.5</v>
      </c>
      <c r="E38" s="1815">
        <f>+D38</f>
        <v>198917.5</v>
      </c>
      <c r="F38" s="1871"/>
      <c r="G38" s="1815"/>
      <c r="H38" s="1877"/>
      <c r="I38" s="1815"/>
      <c r="J38" s="1815">
        <v>0</v>
      </c>
      <c r="K38" s="1063" t="s">
        <v>1795</v>
      </c>
      <c r="L38" s="846">
        <f t="shared" si="5"/>
        <v>17</v>
      </c>
      <c r="M38" s="1238">
        <f t="shared" si="6"/>
        <v>1650023</v>
      </c>
      <c r="N38" s="1232" t="str">
        <f t="shared" si="7"/>
        <v>Prepaid Leases</v>
      </c>
      <c r="O38" s="1232"/>
      <c r="P38" s="1867">
        <f t="shared" si="2"/>
        <v>198917.5</v>
      </c>
      <c r="Q38" s="1065">
        <v>199884</v>
      </c>
      <c r="R38" s="1223"/>
      <c r="S38" s="1223"/>
      <c r="T38" s="1223"/>
      <c r="U38" s="1223"/>
      <c r="V38" s="1223"/>
      <c r="W38" s="1223"/>
      <c r="X38" s="1223"/>
      <c r="Y38" s="1223"/>
      <c r="Z38" s="1223"/>
      <c r="AA38" s="1223"/>
      <c r="AB38" s="1223"/>
      <c r="AC38" s="1873">
        <v>197951</v>
      </c>
    </row>
    <row r="39" spans="1:29">
      <c r="A39" s="846">
        <f t="shared" si="3"/>
        <v>18</v>
      </c>
      <c r="B39" s="1238">
        <v>1650029</v>
      </c>
      <c r="C39" s="1232" t="s">
        <v>1802</v>
      </c>
      <c r="D39" s="1815">
        <f t="shared" si="4"/>
        <v>300000</v>
      </c>
      <c r="E39" s="1815">
        <f>+D39</f>
        <v>300000</v>
      </c>
      <c r="F39" s="1871"/>
      <c r="G39" s="1815"/>
      <c r="H39" s="1877"/>
      <c r="I39" s="1815"/>
      <c r="J39" s="1815">
        <v>0</v>
      </c>
      <c r="K39" s="1063" t="s">
        <v>1808</v>
      </c>
      <c r="L39" s="846">
        <f t="shared" si="5"/>
        <v>18</v>
      </c>
      <c r="M39" s="1238">
        <f t="shared" si="6"/>
        <v>1650029</v>
      </c>
      <c r="N39" s="1232" t="str">
        <f t="shared" si="7"/>
        <v>Future Wetland Credits - Long Term</v>
      </c>
      <c r="O39" s="1232"/>
      <c r="P39" s="1867">
        <f t="shared" si="2"/>
        <v>300000</v>
      </c>
      <c r="Q39" s="1065">
        <v>300000</v>
      </c>
      <c r="R39" s="1223"/>
      <c r="S39" s="1223"/>
      <c r="T39" s="1223"/>
      <c r="U39" s="1223"/>
      <c r="V39" s="1223"/>
      <c r="W39" s="1223"/>
      <c r="X39" s="1223"/>
      <c r="Y39" s="1223"/>
      <c r="Z39" s="1223"/>
      <c r="AA39" s="1223"/>
      <c r="AB39" s="1223"/>
      <c r="AC39" s="1873">
        <v>300000</v>
      </c>
    </row>
    <row r="40" spans="1:29">
      <c r="A40" s="846">
        <f t="shared" si="3"/>
        <v>19</v>
      </c>
      <c r="B40" s="1238">
        <v>1650030</v>
      </c>
      <c r="C40" s="1232" t="s">
        <v>1803</v>
      </c>
      <c r="D40" s="1815">
        <f t="shared" si="4"/>
        <v>1954154.5</v>
      </c>
      <c r="E40" s="1815">
        <f>+D40</f>
        <v>1954154.5</v>
      </c>
      <c r="F40" s="1871"/>
      <c r="G40" s="1815"/>
      <c r="H40" s="1877"/>
      <c r="I40" s="1815"/>
      <c r="J40" s="1815">
        <v>0</v>
      </c>
      <c r="K40" s="1063"/>
      <c r="L40" s="846">
        <f t="shared" si="5"/>
        <v>19</v>
      </c>
      <c r="M40" s="1238">
        <f t="shared" si="6"/>
        <v>1650030</v>
      </c>
      <c r="N40" s="1232" t="str">
        <f t="shared" si="7"/>
        <v>Other Prepayments - Long Term</v>
      </c>
      <c r="O40" s="1232"/>
      <c r="P40" s="1867">
        <f t="shared" si="2"/>
        <v>1954154.5</v>
      </c>
      <c r="Q40" s="1065">
        <v>0</v>
      </c>
      <c r="R40" s="1223"/>
      <c r="S40" s="1223"/>
      <c r="T40" s="1223"/>
      <c r="U40" s="1223"/>
      <c r="V40" s="1223"/>
      <c r="W40" s="1223"/>
      <c r="X40" s="1223"/>
      <c r="Y40" s="1223"/>
      <c r="Z40" s="1223"/>
      <c r="AA40" s="1223"/>
      <c r="AB40" s="1223"/>
      <c r="AC40" s="1873">
        <v>3908309</v>
      </c>
    </row>
    <row r="41" spans="1:29">
      <c r="A41" s="846">
        <f t="shared" si="3"/>
        <v>20</v>
      </c>
      <c r="B41" s="1238">
        <v>1650031</v>
      </c>
      <c r="C41" s="1232" t="s">
        <v>616</v>
      </c>
      <c r="D41" s="1815">
        <f t="shared" si="4"/>
        <v>0</v>
      </c>
      <c r="E41" s="1815"/>
      <c r="F41" s="1871"/>
      <c r="G41" s="1815"/>
      <c r="H41" s="1877"/>
      <c r="I41" s="1815"/>
      <c r="J41" s="1815">
        <f t="shared" ref="J41:J43" si="8">+D41</f>
        <v>0</v>
      </c>
      <c r="K41" s="1063"/>
      <c r="L41" s="846">
        <f t="shared" si="5"/>
        <v>20</v>
      </c>
      <c r="M41" s="1238">
        <f t="shared" si="6"/>
        <v>1650031</v>
      </c>
      <c r="N41" s="1232" t="str">
        <f t="shared" si="7"/>
        <v>Prepaid OCIP Work Comp</v>
      </c>
      <c r="O41" s="1232"/>
      <c r="P41" s="1867">
        <f t="shared" si="2"/>
        <v>0</v>
      </c>
      <c r="Q41" s="1065">
        <v>0</v>
      </c>
      <c r="R41" s="1223"/>
      <c r="S41" s="1223"/>
      <c r="T41" s="1223"/>
      <c r="U41" s="1223"/>
      <c r="V41" s="1223"/>
      <c r="W41" s="1223"/>
      <c r="X41" s="1223"/>
      <c r="Y41" s="1223"/>
      <c r="Z41" s="1223"/>
      <c r="AA41" s="1223"/>
      <c r="AB41" s="1223"/>
      <c r="AC41" s="1873">
        <v>0</v>
      </c>
    </row>
    <row r="42" spans="1:29">
      <c r="A42" s="846">
        <f t="shared" si="3"/>
        <v>21</v>
      </c>
      <c r="B42" s="1238">
        <v>1650032</v>
      </c>
      <c r="C42" s="1232" t="s">
        <v>799</v>
      </c>
      <c r="D42" s="1815">
        <f t="shared" si="4"/>
        <v>0</v>
      </c>
      <c r="E42" s="1815"/>
      <c r="F42" s="1871"/>
      <c r="G42" s="1815"/>
      <c r="H42" s="1877"/>
      <c r="I42" s="1815"/>
      <c r="J42" s="1876">
        <f t="shared" si="8"/>
        <v>0</v>
      </c>
      <c r="K42" s="1063"/>
      <c r="L42" s="846">
        <f t="shared" si="5"/>
        <v>21</v>
      </c>
      <c r="M42" s="1238">
        <f t="shared" si="6"/>
        <v>1650032</v>
      </c>
      <c r="N42" s="1232" t="str">
        <f t="shared" si="7"/>
        <v>Prepaid OCIP Work Comp-Long Term</v>
      </c>
      <c r="O42" s="1232"/>
      <c r="P42" s="1867">
        <f t="shared" si="2"/>
        <v>0</v>
      </c>
      <c r="Q42" s="1065">
        <v>0</v>
      </c>
      <c r="R42" s="1223"/>
      <c r="S42" s="1223"/>
      <c r="T42" s="1223"/>
      <c r="U42" s="1223"/>
      <c r="V42" s="1223"/>
      <c r="W42" s="1223"/>
      <c r="X42" s="1223"/>
      <c r="Y42" s="1223"/>
      <c r="Z42" s="1223"/>
      <c r="AA42" s="1223"/>
      <c r="AB42" s="1223"/>
      <c r="AC42" s="1873">
        <v>0</v>
      </c>
    </row>
    <row r="43" spans="1:29">
      <c r="A43" s="846">
        <f t="shared" si="3"/>
        <v>22</v>
      </c>
      <c r="B43" s="1238">
        <v>1650033</v>
      </c>
      <c r="C43" s="1232" t="s">
        <v>800</v>
      </c>
      <c r="D43" s="1815">
        <f t="shared" si="4"/>
        <v>0</v>
      </c>
      <c r="E43" s="1815"/>
      <c r="F43" s="1871"/>
      <c r="G43" s="1815"/>
      <c r="H43" s="1877"/>
      <c r="I43" s="1815"/>
      <c r="J43" s="1876">
        <f t="shared" si="8"/>
        <v>0</v>
      </c>
      <c r="K43" s="1063"/>
      <c r="L43" s="846">
        <f t="shared" si="5"/>
        <v>22</v>
      </c>
      <c r="M43" s="1238">
        <f t="shared" si="6"/>
        <v>1650033</v>
      </c>
      <c r="N43" s="1232" t="str">
        <f t="shared" si="7"/>
        <v>Prepaid OCIP Work Comp-Affiliated</v>
      </c>
      <c r="O43" s="1232"/>
      <c r="P43" s="1867">
        <f t="shared" si="2"/>
        <v>0</v>
      </c>
      <c r="Q43" s="1065">
        <v>0</v>
      </c>
      <c r="R43" s="1223"/>
      <c r="S43" s="1223"/>
      <c r="T43" s="1223"/>
      <c r="U43" s="1223"/>
      <c r="V43" s="1223"/>
      <c r="W43" s="1223"/>
      <c r="X43" s="1223"/>
      <c r="Y43" s="1223"/>
      <c r="Z43" s="1223"/>
      <c r="AA43" s="1223"/>
      <c r="AB43" s="1223"/>
      <c r="AC43" s="1873">
        <v>0</v>
      </c>
    </row>
    <row r="44" spans="1:29">
      <c r="A44" s="846">
        <f t="shared" si="3"/>
        <v>23</v>
      </c>
      <c r="B44" s="1238">
        <v>1650034</v>
      </c>
      <c r="C44" s="1232" t="s">
        <v>801</v>
      </c>
      <c r="D44" s="1815">
        <f t="shared" si="4"/>
        <v>0</v>
      </c>
      <c r="E44" s="1815">
        <f>+D44</f>
        <v>0</v>
      </c>
      <c r="F44" s="1871"/>
      <c r="G44" s="1815"/>
      <c r="H44" s="1877"/>
      <c r="I44" s="1815"/>
      <c r="J44" s="1876"/>
      <c r="K44" s="1063"/>
      <c r="L44" s="846">
        <f t="shared" si="5"/>
        <v>23</v>
      </c>
      <c r="M44" s="1238">
        <f t="shared" si="6"/>
        <v>1650034</v>
      </c>
      <c r="N44" s="1232" t="str">
        <f t="shared" si="7"/>
        <v>Prepaid OCIP Work Comp-Affiliated Long Term</v>
      </c>
      <c r="O44" s="1232"/>
      <c r="P44" s="1867">
        <f t="shared" si="2"/>
        <v>0</v>
      </c>
      <c r="Q44" s="1065">
        <v>0</v>
      </c>
      <c r="R44" s="1223"/>
      <c r="S44" s="1223"/>
      <c r="T44" s="1223"/>
      <c r="U44" s="1223"/>
      <c r="V44" s="1223"/>
      <c r="W44" s="1223"/>
      <c r="X44" s="1223"/>
      <c r="Y44" s="1223"/>
      <c r="Z44" s="1223"/>
      <c r="AA44" s="1223"/>
      <c r="AB44" s="1223"/>
      <c r="AC44" s="1873">
        <v>0</v>
      </c>
    </row>
    <row r="45" spans="1:29" ht="25.5">
      <c r="A45" s="846">
        <f t="shared" si="3"/>
        <v>24</v>
      </c>
      <c r="B45" s="1238">
        <v>1650035</v>
      </c>
      <c r="C45" s="1232" t="s">
        <v>617</v>
      </c>
      <c r="D45" s="1815">
        <f t="shared" si="4"/>
        <v>28501665.5</v>
      </c>
      <c r="E45" s="1815">
        <f>+D45</f>
        <v>28501665.5</v>
      </c>
      <c r="F45" s="1871"/>
      <c r="G45" s="1815"/>
      <c r="H45" s="1877"/>
      <c r="I45" s="1815"/>
      <c r="J45" s="1876"/>
      <c r="K45" s="1244" t="s">
        <v>1796</v>
      </c>
      <c r="L45" s="846">
        <f t="shared" si="5"/>
        <v>24</v>
      </c>
      <c r="M45" s="1238">
        <f t="shared" si="6"/>
        <v>1650035</v>
      </c>
      <c r="N45" s="1245" t="str">
        <f t="shared" si="7"/>
        <v>PRW Without MED-D Benefits</v>
      </c>
      <c r="O45" s="1245"/>
      <c r="P45" s="1867">
        <f t="shared" si="2"/>
        <v>28501665.5</v>
      </c>
      <c r="Q45" s="1065">
        <v>23527840</v>
      </c>
      <c r="R45" s="1223"/>
      <c r="S45" s="1223"/>
      <c r="T45" s="1223"/>
      <c r="U45" s="1223"/>
      <c r="V45" s="1223"/>
      <c r="W45" s="1223"/>
      <c r="X45" s="1223"/>
      <c r="Y45" s="1223"/>
      <c r="Z45" s="1223"/>
      <c r="AA45" s="1223"/>
      <c r="AB45" s="1223"/>
      <c r="AC45" s="1873">
        <v>33475491</v>
      </c>
    </row>
    <row r="46" spans="1:29">
      <c r="A46" s="846">
        <f t="shared" si="3"/>
        <v>25</v>
      </c>
      <c r="B46" s="1882">
        <v>1650036</v>
      </c>
      <c r="C46" s="1247" t="s">
        <v>618</v>
      </c>
      <c r="D46" s="1815">
        <f t="shared" si="4"/>
        <v>0</v>
      </c>
      <c r="E46" s="1815">
        <f>+D46</f>
        <v>0</v>
      </c>
      <c r="F46" s="1883"/>
      <c r="G46" s="1884"/>
      <c r="H46" s="1885"/>
      <c r="I46" s="1884"/>
      <c r="J46" s="1884"/>
      <c r="K46" s="1101"/>
      <c r="L46" s="846">
        <f t="shared" si="5"/>
        <v>25</v>
      </c>
      <c r="M46" s="1238">
        <f t="shared" si="6"/>
        <v>1650036</v>
      </c>
      <c r="N46" s="1245" t="str">
        <f t="shared" si="7"/>
        <v>PRW for Med-D Benefits</v>
      </c>
      <c r="O46" s="1245"/>
      <c r="P46" s="1867">
        <f t="shared" si="2"/>
        <v>0</v>
      </c>
      <c r="Q46" s="1102">
        <v>0</v>
      </c>
      <c r="R46" s="1251"/>
      <c r="S46" s="1251"/>
      <c r="T46" s="1251"/>
      <c r="U46" s="1251"/>
      <c r="V46" s="1251"/>
      <c r="W46" s="1251"/>
      <c r="X46" s="1251"/>
      <c r="Y46" s="1251"/>
      <c r="Z46" s="1251"/>
      <c r="AA46" s="1251"/>
      <c r="AB46" s="1251"/>
      <c r="AC46" s="1873">
        <v>0</v>
      </c>
    </row>
    <row r="47" spans="1:29" ht="25.5">
      <c r="A47" s="846">
        <f t="shared" si="3"/>
        <v>26</v>
      </c>
      <c r="B47" s="1238">
        <v>1650037</v>
      </c>
      <c r="C47" s="1232" t="s">
        <v>802</v>
      </c>
      <c r="D47" s="1815">
        <f t="shared" si="4"/>
        <v>-28501665.5</v>
      </c>
      <c r="E47" s="1815">
        <f>+D47</f>
        <v>-28501665.5</v>
      </c>
      <c r="F47" s="1871"/>
      <c r="G47" s="1815"/>
      <c r="H47" s="1877"/>
      <c r="I47" s="1815"/>
      <c r="J47" s="1876"/>
      <c r="K47" s="1244" t="s">
        <v>1797</v>
      </c>
      <c r="L47" s="846">
        <f t="shared" si="5"/>
        <v>26</v>
      </c>
      <c r="M47" s="1238">
        <f t="shared" si="6"/>
        <v>1650037</v>
      </c>
      <c r="N47" s="1245" t="str">
        <f t="shared" si="7"/>
        <v>FAS158 Contra-PRW Exclude Med-D</v>
      </c>
      <c r="O47" s="1245"/>
      <c r="P47" s="1867">
        <f t="shared" si="2"/>
        <v>-28501665.5</v>
      </c>
      <c r="Q47" s="1065">
        <v>-23527840</v>
      </c>
      <c r="R47" s="1223"/>
      <c r="S47" s="1223"/>
      <c r="T47" s="1223"/>
      <c r="U47" s="1223"/>
      <c r="V47" s="1223"/>
      <c r="W47" s="1223"/>
      <c r="X47" s="1223"/>
      <c r="Y47" s="1223"/>
      <c r="Z47" s="1223"/>
      <c r="AA47" s="1223"/>
      <c r="AB47" s="1223"/>
      <c r="AC47" s="1873">
        <v>-33475491</v>
      </c>
    </row>
    <row r="48" spans="1:29">
      <c r="A48" s="846">
        <f t="shared" si="3"/>
        <v>27</v>
      </c>
      <c r="B48" s="1245"/>
      <c r="C48" s="1232"/>
      <c r="D48" s="1815"/>
      <c r="E48" s="1815"/>
      <c r="F48" s="1871" t="e">
        <f>+#REF!</f>
        <v>#REF!</v>
      </c>
      <c r="G48" s="1815"/>
      <c r="H48" s="1871" t="e">
        <f>+#REF!</f>
        <v>#REF!</v>
      </c>
      <c r="I48" s="1815"/>
      <c r="J48" s="1876"/>
      <c r="K48" s="1063"/>
      <c r="L48" s="846">
        <f t="shared" si="5"/>
        <v>27</v>
      </c>
      <c r="M48" s="1238"/>
      <c r="N48" s="1245"/>
      <c r="O48" s="1245"/>
      <c r="P48" s="1867">
        <f t="shared" si="2"/>
        <v>0</v>
      </c>
      <c r="Q48" s="1065"/>
      <c r="R48" s="1223"/>
      <c r="S48" s="1223"/>
      <c r="T48" s="1223"/>
      <c r="U48" s="1223"/>
      <c r="V48" s="1223"/>
      <c r="W48" s="1223"/>
      <c r="X48" s="1223"/>
      <c r="Y48" s="1223"/>
      <c r="Z48" s="1223"/>
      <c r="AA48" s="1223"/>
      <c r="AB48" s="1223"/>
      <c r="AC48" s="1065"/>
    </row>
    <row r="49" spans="1:29">
      <c r="A49" s="846">
        <f t="shared" si="3"/>
        <v>28</v>
      </c>
      <c r="B49" s="1881"/>
      <c r="C49" s="1232"/>
      <c r="D49" s="1815"/>
      <c r="E49" s="1815"/>
      <c r="F49" s="1871" t="e">
        <f>+#REF!</f>
        <v>#REF!</v>
      </c>
      <c r="G49" s="1815"/>
      <c r="H49" s="1871" t="e">
        <f>+#REF!</f>
        <v>#REF!</v>
      </c>
      <c r="I49" s="1815"/>
      <c r="J49" s="1876"/>
      <c r="K49" s="1063"/>
      <c r="L49" s="846">
        <f t="shared" si="5"/>
        <v>28</v>
      </c>
      <c r="M49" s="1238"/>
      <c r="N49" s="1245"/>
      <c r="O49" s="1245"/>
      <c r="P49" s="1867">
        <f t="shared" si="2"/>
        <v>0</v>
      </c>
      <c r="Q49" s="1065"/>
      <c r="R49" s="1223"/>
      <c r="S49" s="1223"/>
      <c r="T49" s="1223"/>
      <c r="U49" s="1223"/>
      <c r="V49" s="1223"/>
      <c r="W49" s="1223"/>
      <c r="X49" s="1223"/>
      <c r="Y49" s="1223"/>
      <c r="Z49" s="1223"/>
      <c r="AA49" s="1223"/>
      <c r="AB49" s="1223"/>
      <c r="AC49" s="1065"/>
    </row>
    <row r="50" spans="1:29" ht="13.5" thickBot="1">
      <c r="A50" s="1857"/>
      <c r="B50" s="1253"/>
      <c r="C50" s="1253"/>
      <c r="D50" s="1886"/>
      <c r="E50" s="1887"/>
      <c r="F50" s="1888"/>
      <c r="G50" s="1887"/>
      <c r="H50" s="1888"/>
      <c r="I50" s="1887"/>
      <c r="J50" s="1887"/>
      <c r="K50" s="1257"/>
      <c r="L50" s="1857"/>
      <c r="M50" s="1856"/>
      <c r="N50" s="1856"/>
      <c r="O50" s="1856"/>
      <c r="P50" s="1864"/>
      <c r="Q50" s="1856"/>
    </row>
    <row r="51" spans="1:29">
      <c r="A51" s="1857">
        <f>+A49+1</f>
        <v>29</v>
      </c>
      <c r="B51" s="1869"/>
      <c r="C51" s="1258"/>
      <c r="D51" s="1889">
        <f>SUM(D25:D50)</f>
        <v>21715458.5</v>
      </c>
      <c r="E51" s="1890">
        <f>SUM(E25:E50)</f>
        <v>-73210720</v>
      </c>
      <c r="F51" s="1877"/>
      <c r="G51" s="1890">
        <f>SUM(G25:G50)</f>
        <v>0</v>
      </c>
      <c r="H51" s="1877"/>
      <c r="I51" s="1890">
        <f>SUM(I25:I50)</f>
        <v>10960851</v>
      </c>
      <c r="J51" s="1890">
        <f>SUM(J25:J50)</f>
        <v>93040327.5</v>
      </c>
      <c r="K51" s="791"/>
      <c r="L51" s="1857">
        <f>+L49+1</f>
        <v>29</v>
      </c>
      <c r="M51" s="1258" t="s">
        <v>1294</v>
      </c>
      <c r="O51" s="1856"/>
      <c r="P51" s="1891">
        <f t="shared" ref="P51:AC51" si="9">SUM(P25:P50)</f>
        <v>21715458.5</v>
      </c>
      <c r="Q51" s="1890">
        <f t="shared" si="9"/>
        <v>29418343</v>
      </c>
      <c r="R51" s="1890">
        <f t="shared" si="9"/>
        <v>0</v>
      </c>
      <c r="S51" s="1890">
        <f t="shared" si="9"/>
        <v>0</v>
      </c>
      <c r="T51" s="1890">
        <f t="shared" si="9"/>
        <v>0</v>
      </c>
      <c r="U51" s="1890">
        <f t="shared" si="9"/>
        <v>0</v>
      </c>
      <c r="V51" s="1890">
        <f t="shared" si="9"/>
        <v>0</v>
      </c>
      <c r="W51" s="1890">
        <f t="shared" si="9"/>
        <v>0</v>
      </c>
      <c r="X51" s="1890">
        <f t="shared" si="9"/>
        <v>0</v>
      </c>
      <c r="Y51" s="1890">
        <f t="shared" si="9"/>
        <v>0</v>
      </c>
      <c r="Z51" s="1890">
        <f t="shared" si="9"/>
        <v>0</v>
      </c>
      <c r="AA51" s="1890">
        <f t="shared" si="9"/>
        <v>0</v>
      </c>
      <c r="AB51" s="1890">
        <f t="shared" si="9"/>
        <v>0</v>
      </c>
      <c r="AC51" s="1890">
        <f t="shared" si="9"/>
        <v>14012574</v>
      </c>
    </row>
    <row r="52" spans="1:29">
      <c r="A52" s="1857"/>
      <c r="B52" s="1869"/>
      <c r="C52" s="1258"/>
      <c r="D52" s="1892"/>
      <c r="E52" s="1893"/>
      <c r="F52" s="1877"/>
      <c r="G52" s="1893"/>
      <c r="H52" s="1877"/>
      <c r="I52" s="1893"/>
      <c r="J52" s="1893"/>
      <c r="K52" s="791"/>
      <c r="L52" s="1856"/>
      <c r="M52" s="1856"/>
      <c r="N52" s="1856"/>
      <c r="O52" s="1856"/>
      <c r="P52" s="1856"/>
      <c r="Q52" s="1856"/>
    </row>
    <row r="53" spans="1:29" ht="49.5" customHeight="1">
      <c r="A53" s="1894" t="s">
        <v>1162</v>
      </c>
      <c r="B53" s="2473" t="s">
        <v>1161</v>
      </c>
      <c r="C53" s="2473"/>
      <c r="D53" s="2473"/>
      <c r="E53" s="2473"/>
      <c r="F53" s="2473"/>
      <c r="G53" s="2473"/>
      <c r="H53" s="2473"/>
      <c r="I53" s="2473"/>
      <c r="J53" s="2473"/>
      <c r="K53" s="2473"/>
      <c r="L53" s="1894" t="s">
        <v>1162</v>
      </c>
      <c r="M53" s="2473"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473"/>
      <c r="O53" s="2473"/>
      <c r="P53" s="2473"/>
      <c r="Q53" s="2473"/>
      <c r="R53" s="2473"/>
      <c r="S53" s="2473"/>
      <c r="T53" s="2473"/>
      <c r="U53" s="2473"/>
      <c r="V53" s="2473"/>
      <c r="W53" s="2473"/>
      <c r="X53" s="2473"/>
      <c r="Y53" s="2473"/>
      <c r="Z53" s="2473"/>
      <c r="AA53" s="2473"/>
      <c r="AB53" s="2473"/>
      <c r="AC53" s="2473"/>
    </row>
    <row r="54" spans="1:29">
      <c r="A54" s="791"/>
      <c r="B54" s="791"/>
      <c r="C54" s="791"/>
      <c r="D54" s="791"/>
      <c r="E54" s="791"/>
      <c r="F54" s="791"/>
      <c r="G54" s="791"/>
      <c r="H54" s="791"/>
      <c r="I54" s="791"/>
      <c r="J54" s="791"/>
      <c r="K54" s="791"/>
      <c r="L54" s="791"/>
      <c r="M54" s="791"/>
      <c r="N54" s="791"/>
      <c r="O54" s="791"/>
      <c r="P54" s="791"/>
      <c r="Q54" s="791"/>
      <c r="R54" s="791"/>
    </row>
    <row r="55" spans="1:29">
      <c r="A55" s="791"/>
      <c r="B55" s="791"/>
      <c r="C55" s="791"/>
      <c r="D55" s="791"/>
      <c r="E55" s="791"/>
      <c r="F55" s="791"/>
      <c r="G55" s="791"/>
      <c r="H55" s="791"/>
      <c r="I55" s="791"/>
      <c r="J55" s="791"/>
      <c r="K55" s="791"/>
      <c r="L55" s="791"/>
      <c r="M55" s="791"/>
      <c r="N55" s="791"/>
      <c r="O55" s="791"/>
      <c r="P55" s="791"/>
      <c r="Q55" s="791"/>
      <c r="R55" s="791"/>
    </row>
    <row r="56" spans="1:29">
      <c r="A56" s="791"/>
      <c r="B56" s="791"/>
      <c r="C56" s="791"/>
      <c r="D56" s="791"/>
      <c r="E56" s="791"/>
      <c r="F56" s="791"/>
      <c r="G56" s="791"/>
      <c r="H56" s="791"/>
      <c r="I56" s="791"/>
      <c r="J56" s="791"/>
      <c r="K56" s="791"/>
      <c r="L56" s="791"/>
      <c r="M56" s="791"/>
      <c r="N56" s="791"/>
      <c r="O56" s="791"/>
      <c r="P56" s="791"/>
      <c r="Q56" s="791"/>
      <c r="R56" s="791"/>
    </row>
    <row r="57" spans="1:29">
      <c r="A57" s="791"/>
      <c r="B57" s="791"/>
      <c r="C57" s="791"/>
      <c r="D57" s="791"/>
      <c r="E57" s="791"/>
      <c r="F57" s="791"/>
      <c r="G57" s="791"/>
      <c r="H57" s="791"/>
      <c r="I57" s="791"/>
      <c r="J57" s="791"/>
      <c r="K57" s="791"/>
      <c r="L57" s="791"/>
      <c r="M57" s="791"/>
      <c r="N57" s="791"/>
      <c r="O57" s="791"/>
      <c r="P57" s="791"/>
      <c r="Q57" s="791"/>
      <c r="R57" s="791"/>
    </row>
    <row r="58" spans="1:29">
      <c r="A58" s="791"/>
      <c r="B58" s="791"/>
      <c r="C58" s="791"/>
      <c r="D58" s="791"/>
      <c r="E58" s="791"/>
      <c r="F58" s="791"/>
      <c r="G58" s="791"/>
      <c r="H58" s="791"/>
      <c r="I58" s="791"/>
      <c r="J58" s="791"/>
      <c r="K58" s="791"/>
      <c r="L58" s="791"/>
      <c r="M58" s="791"/>
      <c r="N58" s="791"/>
      <c r="O58" s="791"/>
      <c r="P58" s="791"/>
      <c r="Q58" s="791"/>
      <c r="R58" s="791"/>
    </row>
    <row r="59" spans="1:29">
      <c r="A59" s="791"/>
      <c r="B59" s="791"/>
      <c r="C59" s="791"/>
      <c r="D59" s="791"/>
      <c r="E59" s="791"/>
      <c r="F59" s="791"/>
      <c r="G59" s="791"/>
      <c r="H59" s="791"/>
      <c r="I59" s="791"/>
      <c r="J59" s="791"/>
      <c r="K59" s="791"/>
      <c r="L59" s="791"/>
      <c r="M59" s="791"/>
      <c r="N59" s="791"/>
      <c r="O59" s="791"/>
      <c r="P59" s="791"/>
      <c r="Q59" s="791"/>
      <c r="R59" s="791"/>
    </row>
    <row r="60" spans="1:29">
      <c r="A60" s="791"/>
      <c r="B60" s="791"/>
      <c r="C60" s="791"/>
      <c r="D60" s="791"/>
      <c r="E60" s="791"/>
      <c r="F60" s="791"/>
      <c r="G60" s="791"/>
      <c r="H60" s="791"/>
      <c r="I60" s="791"/>
      <c r="J60" s="791"/>
      <c r="K60" s="791"/>
      <c r="L60" s="791"/>
      <c r="M60" s="791"/>
      <c r="N60" s="791"/>
      <c r="O60" s="791"/>
      <c r="P60" s="791"/>
      <c r="Q60" s="791"/>
      <c r="R60" s="791"/>
    </row>
    <row r="61" spans="1:29">
      <c r="A61" s="791"/>
      <c r="B61" s="791"/>
      <c r="C61" s="791"/>
      <c r="D61" s="791"/>
      <c r="E61" s="791"/>
      <c r="F61" s="791"/>
      <c r="G61" s="791"/>
      <c r="H61" s="791"/>
      <c r="I61" s="791"/>
      <c r="J61" s="791"/>
      <c r="K61" s="791"/>
      <c r="L61" s="791"/>
      <c r="M61" s="791"/>
      <c r="N61" s="791"/>
      <c r="O61" s="791"/>
      <c r="P61" s="791"/>
      <c r="Q61" s="791"/>
      <c r="R61" s="791"/>
    </row>
    <row r="62" spans="1:29">
      <c r="A62" s="791"/>
      <c r="B62" s="791"/>
      <c r="C62" s="791"/>
      <c r="D62" s="791"/>
      <c r="E62" s="791"/>
      <c r="F62" s="791"/>
      <c r="G62" s="791"/>
      <c r="H62" s="791"/>
      <c r="I62" s="791"/>
      <c r="J62" s="791"/>
      <c r="K62" s="791"/>
      <c r="L62" s="791"/>
      <c r="M62" s="791"/>
      <c r="N62" s="791"/>
      <c r="O62" s="791"/>
      <c r="P62" s="791"/>
      <c r="Q62" s="791"/>
      <c r="R62" s="791"/>
    </row>
    <row r="63" spans="1:29">
      <c r="A63" s="791"/>
      <c r="B63" s="791"/>
      <c r="C63" s="791"/>
      <c r="D63" s="791"/>
      <c r="E63" s="791"/>
      <c r="F63" s="791"/>
      <c r="G63" s="791"/>
      <c r="H63" s="791"/>
      <c r="I63" s="791"/>
      <c r="J63" s="791"/>
      <c r="K63" s="791"/>
      <c r="L63" s="791"/>
      <c r="M63" s="791"/>
      <c r="N63" s="791"/>
      <c r="O63" s="791"/>
      <c r="P63" s="791"/>
      <c r="Q63" s="791"/>
      <c r="R63" s="791"/>
    </row>
    <row r="64" spans="1:29">
      <c r="A64" s="791"/>
      <c r="B64" s="791"/>
      <c r="C64" s="791"/>
      <c r="D64" s="791"/>
      <c r="E64" s="791"/>
      <c r="F64" s="791"/>
      <c r="G64" s="791"/>
      <c r="H64" s="791"/>
      <c r="I64" s="791"/>
      <c r="J64" s="791"/>
      <c r="K64" s="791"/>
      <c r="L64" s="791"/>
      <c r="M64" s="791"/>
      <c r="N64" s="791"/>
      <c r="O64" s="791"/>
      <c r="P64" s="791"/>
      <c r="Q64" s="791"/>
      <c r="R64" s="791"/>
    </row>
    <row r="65" spans="1:18">
      <c r="A65" s="791"/>
      <c r="B65" s="791"/>
      <c r="C65" s="791"/>
      <c r="D65" s="791"/>
      <c r="E65" s="791"/>
      <c r="F65" s="791"/>
      <c r="G65" s="791"/>
      <c r="H65" s="791"/>
      <c r="I65" s="791"/>
      <c r="J65" s="791"/>
      <c r="K65" s="791"/>
      <c r="L65" s="791"/>
      <c r="M65" s="791"/>
      <c r="N65" s="791"/>
      <c r="O65" s="791"/>
      <c r="P65" s="791"/>
      <c r="Q65" s="791"/>
      <c r="R65" s="791"/>
    </row>
    <row r="66" spans="1:18">
      <c r="A66" s="791"/>
      <c r="B66" s="791"/>
      <c r="C66" s="791"/>
      <c r="D66" s="791"/>
      <c r="E66" s="791"/>
      <c r="F66" s="791"/>
      <c r="G66" s="791"/>
      <c r="H66" s="791"/>
      <c r="I66" s="791"/>
      <c r="J66" s="791"/>
      <c r="K66" s="791"/>
      <c r="L66" s="791"/>
      <c r="M66" s="791"/>
      <c r="N66" s="791"/>
      <c r="O66" s="791"/>
      <c r="P66" s="791"/>
      <c r="Q66" s="791"/>
      <c r="R66" s="791"/>
    </row>
    <row r="67" spans="1:18">
      <c r="A67" s="791"/>
      <c r="B67" s="791"/>
      <c r="C67" s="791"/>
      <c r="D67" s="791"/>
      <c r="E67" s="791"/>
      <c r="F67" s="791"/>
      <c r="G67" s="791"/>
      <c r="H67" s="791"/>
      <c r="I67" s="791"/>
      <c r="J67" s="791"/>
      <c r="K67" s="791"/>
      <c r="L67" s="791"/>
      <c r="M67" s="791"/>
      <c r="N67" s="791"/>
      <c r="O67" s="791"/>
      <c r="P67" s="791"/>
      <c r="Q67" s="791"/>
      <c r="R67" s="791"/>
    </row>
    <row r="68" spans="1:18">
      <c r="A68" s="791"/>
      <c r="B68" s="791"/>
      <c r="C68" s="791"/>
      <c r="D68" s="791"/>
      <c r="E68" s="791"/>
      <c r="F68" s="791"/>
      <c r="G68" s="791"/>
      <c r="H68" s="791"/>
      <c r="I68" s="791"/>
      <c r="J68" s="791"/>
      <c r="K68" s="791"/>
      <c r="L68" s="791"/>
      <c r="M68" s="791"/>
      <c r="N68" s="791"/>
      <c r="O68" s="791"/>
      <c r="P68" s="791"/>
      <c r="Q68" s="791"/>
      <c r="R68" s="791"/>
    </row>
    <row r="69" spans="1:18">
      <c r="A69" s="791"/>
      <c r="B69" s="791"/>
      <c r="C69" s="791"/>
      <c r="D69" s="791"/>
      <c r="E69" s="791"/>
      <c r="F69" s="791"/>
      <c r="G69" s="791"/>
      <c r="H69" s="791"/>
      <c r="I69" s="791"/>
      <c r="J69" s="791"/>
      <c r="K69" s="791"/>
      <c r="L69" s="791"/>
      <c r="M69" s="791"/>
      <c r="N69" s="791"/>
      <c r="O69" s="791"/>
      <c r="P69" s="791"/>
      <c r="Q69" s="791"/>
      <c r="R69" s="791"/>
    </row>
    <row r="70" spans="1:18">
      <c r="A70" s="791"/>
      <c r="B70" s="791"/>
      <c r="C70" s="791"/>
      <c r="D70" s="791"/>
      <c r="E70" s="791"/>
      <c r="F70" s="791"/>
      <c r="G70" s="791"/>
      <c r="H70" s="791"/>
      <c r="I70" s="791"/>
      <c r="J70" s="791"/>
      <c r="K70" s="791"/>
      <c r="L70" s="791"/>
      <c r="M70" s="791"/>
      <c r="N70" s="791"/>
      <c r="O70" s="791"/>
      <c r="P70" s="791"/>
      <c r="Q70" s="791"/>
      <c r="R70" s="791"/>
    </row>
    <row r="71" spans="1:18">
      <c r="A71" s="791"/>
      <c r="B71" s="791"/>
      <c r="C71" s="791"/>
      <c r="D71" s="791"/>
      <c r="E71" s="791"/>
      <c r="F71" s="791"/>
      <c r="G71" s="791"/>
      <c r="H71" s="791"/>
      <c r="I71" s="791"/>
      <c r="J71" s="791"/>
      <c r="K71" s="791"/>
      <c r="L71" s="791"/>
      <c r="M71" s="791"/>
      <c r="N71" s="791"/>
      <c r="O71" s="791"/>
      <c r="P71" s="791"/>
      <c r="Q71" s="791"/>
      <c r="R71" s="791"/>
    </row>
    <row r="72" spans="1:18">
      <c r="A72" s="791"/>
      <c r="B72" s="791"/>
      <c r="C72" s="791"/>
      <c r="D72" s="791"/>
      <c r="E72" s="791"/>
      <c r="F72" s="791"/>
      <c r="G72" s="791"/>
      <c r="H72" s="791"/>
      <c r="I72" s="791"/>
      <c r="J72" s="791"/>
      <c r="K72" s="791"/>
      <c r="L72" s="791"/>
      <c r="M72" s="791"/>
      <c r="N72" s="791"/>
      <c r="O72" s="791"/>
      <c r="P72" s="791"/>
      <c r="Q72" s="791"/>
      <c r="R72" s="791"/>
    </row>
    <row r="73" spans="1:18">
      <c r="A73" s="791"/>
      <c r="B73" s="791"/>
      <c r="C73" s="791"/>
      <c r="D73" s="791"/>
      <c r="E73" s="791"/>
      <c r="F73" s="791"/>
      <c r="G73" s="791"/>
      <c r="H73" s="791"/>
      <c r="I73" s="791"/>
      <c r="J73" s="791"/>
      <c r="K73" s="791"/>
      <c r="L73" s="791"/>
      <c r="M73" s="791"/>
      <c r="N73" s="791"/>
      <c r="O73" s="791"/>
      <c r="P73" s="791"/>
      <c r="Q73" s="791"/>
      <c r="R73" s="791"/>
    </row>
    <row r="74" spans="1:18">
      <c r="A74" s="791"/>
      <c r="B74" s="791"/>
      <c r="C74" s="791"/>
      <c r="D74" s="791"/>
      <c r="E74" s="791"/>
      <c r="F74" s="791"/>
      <c r="G74" s="791"/>
      <c r="H74" s="791"/>
      <c r="I74" s="791"/>
      <c r="J74" s="791"/>
      <c r="K74" s="791"/>
      <c r="L74" s="791"/>
      <c r="M74" s="791"/>
      <c r="N74" s="791"/>
      <c r="O74" s="791"/>
      <c r="P74" s="791"/>
      <c r="Q74" s="791"/>
      <c r="R74" s="791"/>
    </row>
    <row r="75" spans="1:18">
      <c r="A75" s="791"/>
      <c r="B75" s="791"/>
      <c r="C75" s="791"/>
      <c r="D75" s="791"/>
      <c r="E75" s="791"/>
      <c r="F75" s="791"/>
      <c r="G75" s="791"/>
      <c r="H75" s="791"/>
      <c r="I75" s="791"/>
      <c r="J75" s="791"/>
      <c r="K75" s="791"/>
      <c r="L75" s="791"/>
      <c r="M75" s="791"/>
      <c r="N75" s="791"/>
      <c r="O75" s="791"/>
      <c r="P75" s="791"/>
      <c r="Q75" s="791"/>
      <c r="R75" s="791"/>
    </row>
    <row r="76" spans="1:18">
      <c r="A76" s="791"/>
      <c r="B76" s="791"/>
      <c r="C76" s="791"/>
      <c r="D76" s="791"/>
      <c r="E76" s="791"/>
      <c r="F76" s="791"/>
      <c r="G76" s="791"/>
      <c r="H76" s="791"/>
      <c r="I76" s="791"/>
      <c r="J76" s="791"/>
      <c r="K76" s="791"/>
      <c r="L76" s="791"/>
      <c r="M76" s="791"/>
      <c r="N76" s="791"/>
      <c r="O76" s="791"/>
      <c r="P76" s="791"/>
      <c r="Q76" s="791"/>
      <c r="R76" s="791"/>
    </row>
    <row r="77" spans="1:18">
      <c r="A77" s="791"/>
      <c r="B77" s="791"/>
      <c r="C77" s="791"/>
      <c r="D77" s="791"/>
      <c r="E77" s="791"/>
      <c r="F77" s="791"/>
      <c r="G77" s="791"/>
      <c r="H77" s="791"/>
      <c r="I77" s="791"/>
      <c r="J77" s="791"/>
      <c r="K77" s="791"/>
      <c r="L77" s="791"/>
      <c r="M77" s="791"/>
      <c r="N77" s="791"/>
      <c r="O77" s="791"/>
      <c r="P77" s="791"/>
      <c r="Q77" s="791"/>
      <c r="R77" s="791"/>
    </row>
    <row r="78" spans="1:18">
      <c r="A78" s="791"/>
      <c r="B78" s="791"/>
      <c r="C78" s="791"/>
      <c r="D78" s="791"/>
      <c r="E78" s="791"/>
      <c r="F78" s="791"/>
      <c r="G78" s="791"/>
      <c r="H78" s="791"/>
      <c r="I78" s="791"/>
      <c r="J78" s="791"/>
      <c r="K78" s="791"/>
      <c r="L78" s="791"/>
      <c r="M78" s="791"/>
      <c r="N78" s="791"/>
      <c r="O78" s="791"/>
      <c r="P78" s="791"/>
      <c r="Q78" s="791"/>
      <c r="R78" s="791"/>
    </row>
    <row r="79" spans="1:18">
      <c r="A79" s="791"/>
      <c r="B79" s="791"/>
      <c r="C79" s="791"/>
      <c r="D79" s="791"/>
      <c r="E79" s="791"/>
      <c r="F79" s="791"/>
      <c r="G79" s="791"/>
      <c r="H79" s="791"/>
      <c r="I79" s="791"/>
      <c r="J79" s="791"/>
      <c r="K79" s="791"/>
      <c r="L79" s="791"/>
      <c r="M79" s="791"/>
      <c r="N79" s="791"/>
      <c r="O79" s="791"/>
      <c r="P79" s="791"/>
      <c r="Q79" s="791"/>
      <c r="R79" s="791"/>
    </row>
    <row r="80" spans="1:18">
      <c r="A80" s="791"/>
      <c r="B80" s="791"/>
      <c r="C80" s="791"/>
      <c r="D80" s="791"/>
      <c r="E80" s="791"/>
      <c r="F80" s="791"/>
      <c r="G80" s="791"/>
      <c r="H80" s="791"/>
      <c r="I80" s="791"/>
      <c r="J80" s="791"/>
      <c r="K80" s="791"/>
      <c r="L80" s="791"/>
      <c r="M80" s="791"/>
      <c r="N80" s="791"/>
      <c r="O80" s="791"/>
      <c r="P80" s="791"/>
      <c r="Q80" s="791"/>
      <c r="R80" s="791"/>
    </row>
    <row r="81" spans="1:18">
      <c r="A81" s="791"/>
      <c r="B81" s="791"/>
      <c r="C81" s="791"/>
      <c r="D81" s="791"/>
      <c r="E81" s="791"/>
      <c r="F81" s="791"/>
      <c r="G81" s="791"/>
      <c r="H81" s="791"/>
      <c r="I81" s="791"/>
      <c r="J81" s="791"/>
      <c r="K81" s="791"/>
      <c r="L81" s="791"/>
      <c r="M81" s="791"/>
      <c r="N81" s="791"/>
      <c r="O81" s="791"/>
      <c r="P81" s="791"/>
      <c r="Q81" s="791"/>
      <c r="R81" s="791"/>
    </row>
    <row r="82" spans="1:18">
      <c r="A82" s="791"/>
      <c r="B82" s="791"/>
      <c r="C82" s="791"/>
      <c r="D82" s="791"/>
      <c r="E82" s="791"/>
      <c r="F82" s="791"/>
      <c r="G82" s="791"/>
      <c r="H82" s="791"/>
      <c r="I82" s="791"/>
      <c r="J82" s="791"/>
      <c r="K82" s="791"/>
      <c r="L82" s="791"/>
      <c r="M82" s="791"/>
      <c r="N82" s="791"/>
      <c r="O82" s="791"/>
      <c r="P82" s="791"/>
      <c r="Q82" s="791"/>
      <c r="R82" s="791"/>
    </row>
    <row r="83" spans="1:18">
      <c r="A83" s="791"/>
      <c r="B83" s="791"/>
      <c r="C83" s="791"/>
      <c r="D83" s="791"/>
      <c r="E83" s="791"/>
      <c r="F83" s="791"/>
      <c r="G83" s="791"/>
      <c r="H83" s="791"/>
      <c r="I83" s="791"/>
      <c r="J83" s="791"/>
      <c r="K83" s="791"/>
      <c r="L83" s="791"/>
      <c r="M83" s="791"/>
      <c r="N83" s="791"/>
      <c r="O83" s="791"/>
      <c r="P83" s="791"/>
      <c r="Q83" s="791"/>
      <c r="R83" s="791"/>
    </row>
    <row r="84" spans="1:18">
      <c r="A84" s="791"/>
      <c r="B84" s="791"/>
      <c r="C84" s="791"/>
      <c r="D84" s="791"/>
      <c r="E84" s="791"/>
      <c r="F84" s="791"/>
      <c r="G84" s="791"/>
      <c r="H84" s="791"/>
      <c r="I84" s="791"/>
      <c r="J84" s="791"/>
      <c r="K84" s="791"/>
      <c r="L84" s="791"/>
      <c r="M84" s="791"/>
      <c r="N84" s="791"/>
      <c r="O84" s="791"/>
      <c r="P84" s="791"/>
      <c r="Q84" s="791"/>
      <c r="R84" s="791"/>
    </row>
    <row r="85" spans="1:18">
      <c r="A85" s="791"/>
      <c r="B85" s="791"/>
      <c r="C85" s="791"/>
      <c r="D85" s="791"/>
      <c r="E85" s="791"/>
      <c r="F85" s="791"/>
      <c r="G85" s="791"/>
      <c r="H85" s="791"/>
      <c r="I85" s="791"/>
      <c r="J85" s="791"/>
      <c r="K85" s="791"/>
      <c r="L85" s="791"/>
      <c r="M85" s="791"/>
      <c r="N85" s="791"/>
      <c r="O85" s="791"/>
      <c r="P85" s="791"/>
      <c r="Q85" s="791"/>
      <c r="R85" s="791"/>
    </row>
    <row r="86" spans="1:18">
      <c r="A86" s="791"/>
      <c r="B86" s="791"/>
      <c r="C86" s="791"/>
      <c r="D86" s="791"/>
      <c r="E86" s="791"/>
      <c r="F86" s="791"/>
      <c r="G86" s="791"/>
      <c r="H86" s="791"/>
      <c r="I86" s="791"/>
      <c r="J86" s="791"/>
      <c r="K86" s="791"/>
      <c r="L86" s="791"/>
      <c r="M86" s="791"/>
      <c r="N86" s="791"/>
      <c r="O86" s="791"/>
      <c r="P86" s="791"/>
      <c r="Q86" s="791"/>
      <c r="R86" s="791"/>
    </row>
    <row r="87" spans="1:18">
      <c r="A87" s="791"/>
      <c r="B87" s="791"/>
      <c r="C87" s="791"/>
      <c r="D87" s="791"/>
      <c r="E87" s="791"/>
      <c r="F87" s="791"/>
      <c r="G87" s="791"/>
      <c r="H87" s="791"/>
      <c r="I87" s="791"/>
      <c r="J87" s="791"/>
      <c r="K87" s="791"/>
      <c r="L87" s="791"/>
      <c r="M87" s="791"/>
      <c r="N87" s="791"/>
      <c r="O87" s="791"/>
      <c r="P87" s="791"/>
      <c r="Q87" s="791"/>
      <c r="R87" s="791"/>
    </row>
    <row r="88" spans="1:18">
      <c r="A88" s="791"/>
      <c r="B88" s="791"/>
      <c r="C88" s="791"/>
      <c r="D88" s="791"/>
      <c r="E88" s="791"/>
      <c r="F88" s="791"/>
      <c r="G88" s="791"/>
      <c r="H88" s="791"/>
      <c r="I88" s="791"/>
      <c r="J88" s="791"/>
      <c r="K88" s="791"/>
      <c r="L88" s="791"/>
      <c r="M88" s="791"/>
      <c r="N88" s="791"/>
      <c r="O88" s="791"/>
      <c r="P88" s="791"/>
      <c r="Q88" s="791"/>
      <c r="R88" s="791"/>
    </row>
    <row r="89" spans="1:18">
      <c r="A89" s="791"/>
      <c r="B89" s="791"/>
      <c r="C89" s="791"/>
      <c r="D89" s="791"/>
      <c r="E89" s="791"/>
      <c r="F89" s="791"/>
      <c r="G89" s="791"/>
      <c r="H89" s="791"/>
      <c r="I89" s="791"/>
      <c r="J89" s="791"/>
      <c r="K89" s="791"/>
      <c r="L89" s="791"/>
      <c r="M89" s="791"/>
      <c r="N89" s="791"/>
      <c r="O89" s="791"/>
      <c r="P89" s="791"/>
      <c r="Q89" s="791"/>
      <c r="R89" s="791"/>
    </row>
    <row r="90" spans="1:18">
      <c r="A90" s="791"/>
      <c r="B90" s="791"/>
      <c r="C90" s="791"/>
      <c r="D90" s="791"/>
      <c r="E90" s="791"/>
      <c r="F90" s="791"/>
      <c r="G90" s="791"/>
      <c r="H90" s="791"/>
      <c r="I90" s="791"/>
      <c r="J90" s="791"/>
      <c r="K90" s="791"/>
      <c r="L90" s="791"/>
      <c r="M90" s="791"/>
      <c r="N90" s="791"/>
      <c r="O90" s="791"/>
      <c r="P90" s="791"/>
      <c r="Q90" s="791"/>
      <c r="R90" s="791"/>
    </row>
    <row r="91" spans="1:18">
      <c r="A91" s="791"/>
      <c r="B91" s="791"/>
      <c r="C91" s="791"/>
      <c r="D91" s="791"/>
      <c r="E91" s="791"/>
      <c r="F91" s="791"/>
      <c r="G91" s="791"/>
      <c r="H91" s="791"/>
      <c r="I91" s="791"/>
      <c r="J91" s="791"/>
      <c r="K91" s="791"/>
      <c r="L91" s="791"/>
      <c r="M91" s="791"/>
      <c r="N91" s="791"/>
      <c r="O91" s="791"/>
      <c r="P91" s="791"/>
      <c r="Q91" s="791"/>
      <c r="R91" s="791"/>
    </row>
    <row r="92" spans="1:18">
      <c r="A92" s="791"/>
      <c r="B92" s="791"/>
      <c r="C92" s="791"/>
      <c r="D92" s="791"/>
      <c r="E92" s="791"/>
      <c r="F92" s="791"/>
      <c r="G92" s="791"/>
      <c r="H92" s="791"/>
      <c r="I92" s="791"/>
      <c r="J92" s="791"/>
      <c r="K92" s="791"/>
      <c r="L92" s="791"/>
      <c r="M92" s="791"/>
      <c r="N92" s="791"/>
      <c r="O92" s="791"/>
      <c r="P92" s="791"/>
      <c r="Q92" s="791"/>
      <c r="R92" s="791"/>
    </row>
    <row r="93" spans="1:18">
      <c r="A93" s="791"/>
      <c r="B93" s="791"/>
      <c r="C93" s="791"/>
      <c r="D93" s="791"/>
      <c r="E93" s="791"/>
      <c r="F93" s="791"/>
      <c r="G93" s="791"/>
      <c r="H93" s="791"/>
      <c r="I93" s="791"/>
      <c r="J93" s="791"/>
      <c r="K93" s="791"/>
      <c r="L93" s="791"/>
      <c r="M93" s="791"/>
      <c r="N93" s="791"/>
      <c r="O93" s="791"/>
      <c r="P93" s="791"/>
      <c r="Q93" s="791"/>
      <c r="R93" s="791"/>
    </row>
    <row r="94" spans="1:18">
      <c r="A94" s="791"/>
      <c r="B94" s="791"/>
      <c r="C94" s="791"/>
      <c r="D94" s="791"/>
      <c r="E94" s="791"/>
      <c r="F94" s="791"/>
      <c r="G94" s="791"/>
      <c r="H94" s="791"/>
      <c r="I94" s="791"/>
      <c r="J94" s="791"/>
      <c r="K94" s="791"/>
      <c r="L94" s="791"/>
      <c r="M94" s="791"/>
      <c r="N94" s="791"/>
      <c r="O94" s="791"/>
      <c r="P94" s="791"/>
      <c r="Q94" s="791"/>
      <c r="R94" s="791"/>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3:K53"/>
    <mergeCell ref="M53:AC53"/>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topLeftCell="A8" zoomScale="81" zoomScaleNormal="81" zoomScaleSheetLayoutView="100" workbookViewId="0">
      <selection activeCell="C14" sqref="C14"/>
    </sheetView>
  </sheetViews>
  <sheetFormatPr defaultColWidth="8.85546875" defaultRowHeight="12.75"/>
  <cols>
    <col min="1" max="1" width="9.140625" style="846" customWidth="1"/>
    <col min="2" max="2" width="65.140625" style="791" bestFit="1" customWidth="1"/>
    <col min="3" max="3" width="16.42578125" style="791" bestFit="1" customWidth="1"/>
    <col min="4" max="4" width="1.5703125" style="791" customWidth="1"/>
    <col min="5" max="5" width="15" style="791" bestFit="1" customWidth="1"/>
    <col min="6" max="7" width="8.85546875" style="791"/>
    <col min="8" max="8" width="10.85546875" style="791" bestFit="1" customWidth="1"/>
    <col min="9" max="16384" width="8.85546875" style="791"/>
  </cols>
  <sheetData>
    <row r="1" spans="1:15" ht="15">
      <c r="A1" s="1050"/>
    </row>
    <row r="2" spans="1:15" ht="15">
      <c r="A2" s="2447" t="str">
        <f>+'SWEPCO TCOS'!F4</f>
        <v xml:space="preserve">AEP West SPP Member Operating Companies </v>
      </c>
      <c r="B2" s="2447"/>
      <c r="C2" s="2447"/>
      <c r="D2" s="2447"/>
      <c r="E2" s="2447"/>
      <c r="F2" s="1195"/>
      <c r="G2" s="1195"/>
      <c r="H2" s="1195"/>
      <c r="I2" s="1195"/>
      <c r="J2" s="1195"/>
      <c r="K2" s="1195"/>
      <c r="L2" s="1195"/>
      <c r="M2" s="1195"/>
      <c r="N2" s="1195"/>
      <c r="O2" s="1195"/>
    </row>
    <row r="3" spans="1:15" ht="15">
      <c r="A3" s="2554" t="str">
        <f>+'SWEPCO WS A-1 - Plant'!A3</f>
        <v xml:space="preserve">Actual / Projected 2018 Rate Year Cost of Service Formula Rate </v>
      </c>
      <c r="B3" s="2554"/>
      <c r="C3" s="2554"/>
      <c r="D3" s="2554"/>
      <c r="E3" s="2554"/>
      <c r="F3" s="1848"/>
      <c r="G3" s="1848"/>
      <c r="H3" s="1848"/>
      <c r="I3" s="1848"/>
      <c r="J3" s="1848"/>
      <c r="K3" s="1848"/>
      <c r="L3" s="1848"/>
      <c r="M3" s="1196"/>
      <c r="N3" s="1196"/>
      <c r="O3" s="1196"/>
    </row>
    <row r="4" spans="1:15" ht="15.75">
      <c r="A4" s="2555" t="s">
        <v>112</v>
      </c>
      <c r="B4" s="2554"/>
      <c r="C4" s="2554"/>
      <c r="D4" s="2554"/>
      <c r="E4" s="2554"/>
      <c r="F4" s="1848"/>
      <c r="G4" s="1848"/>
      <c r="H4" s="1848"/>
      <c r="I4" s="1848"/>
      <c r="J4" s="1848"/>
      <c r="K4" s="1848"/>
      <c r="L4" s="1848"/>
      <c r="M4" s="1848"/>
      <c r="N4" s="1848"/>
      <c r="O4" s="1848"/>
    </row>
    <row r="5" spans="1:15" ht="15.75">
      <c r="A5" s="2479" t="str">
        <f>+'SWEPCO TCOS'!F8</f>
        <v>SOUTHWESTERN ELECTRIC POWER COMPANY</v>
      </c>
      <c r="B5" s="2479"/>
      <c r="C5" s="2479"/>
      <c r="D5" s="2479"/>
      <c r="E5" s="2479"/>
      <c r="F5" s="787"/>
      <c r="G5" s="787"/>
      <c r="H5" s="787"/>
      <c r="I5" s="787"/>
      <c r="J5" s="787"/>
      <c r="K5" s="787"/>
      <c r="L5" s="787"/>
      <c r="M5" s="787"/>
      <c r="N5" s="787"/>
      <c r="O5" s="787"/>
    </row>
    <row r="7" spans="1:15">
      <c r="A7" s="1267" t="s">
        <v>310</v>
      </c>
      <c r="B7" s="1058" t="s">
        <v>303</v>
      </c>
      <c r="C7" s="1058" t="s">
        <v>304</v>
      </c>
    </row>
    <row r="8" spans="1:15">
      <c r="A8" s="1267" t="s">
        <v>248</v>
      </c>
      <c r="B8" s="1267" t="s">
        <v>308</v>
      </c>
      <c r="C8" s="1267">
        <f>+'SWEPCO TCOS'!N2</f>
        <v>2018</v>
      </c>
    </row>
    <row r="9" spans="1:15">
      <c r="B9" s="1268"/>
      <c r="C9" s="1058"/>
    </row>
    <row r="10" spans="1:15">
      <c r="A10" s="846">
        <v>1</v>
      </c>
      <c r="B10" s="1896" t="str">
        <f>"Net Funds from IPP Customers @ 12/31/"&amp;C8-1&amp;" ("&amp;C8&amp;" FORM 1, P269, (B))"</f>
        <v>Net Funds from IPP Customers @ 12/31/2017 (2018 FORM 1, P269, (B))</v>
      </c>
      <c r="C10" s="965">
        <v>25261807</v>
      </c>
      <c r="D10" s="1810"/>
      <c r="E10" s="1077"/>
    </row>
    <row r="11" spans="1:15">
      <c r="A11" s="846" t="s">
        <v>119</v>
      </c>
      <c r="B11" s="1896"/>
      <c r="C11" s="1810"/>
      <c r="D11" s="1810"/>
    </row>
    <row r="12" spans="1:15">
      <c r="A12" s="846">
        <v>2</v>
      </c>
      <c r="B12" s="1897" t="s">
        <v>849</v>
      </c>
      <c r="C12" s="965"/>
      <c r="D12" s="1810"/>
    </row>
    <row r="13" spans="1:15">
      <c r="B13" s="1896"/>
      <c r="C13" s="1810"/>
      <c r="D13" s="1810"/>
    </row>
    <row r="14" spans="1:15">
      <c r="A14" s="846">
        <f>+A12+1</f>
        <v>3</v>
      </c>
      <c r="B14" s="1897" t="s">
        <v>850</v>
      </c>
      <c r="C14" s="965">
        <v>-121567</v>
      </c>
      <c r="D14" s="1810"/>
    </row>
    <row r="15" spans="1:15">
      <c r="B15" s="1896"/>
      <c r="C15" s="1810"/>
      <c r="D15" s="1810"/>
    </row>
    <row r="16" spans="1:15">
      <c r="A16" s="846">
        <f>+A14+1</f>
        <v>4</v>
      </c>
      <c r="B16" s="1271" t="s">
        <v>851</v>
      </c>
      <c r="C16" s="1810"/>
      <c r="D16" s="1810"/>
    </row>
    <row r="17" spans="1:8">
      <c r="A17" s="846">
        <f>+A16+1</f>
        <v>5</v>
      </c>
      <c r="B17" s="1896" t="s">
        <v>360</v>
      </c>
      <c r="C17" s="1074"/>
      <c r="D17" s="1810"/>
      <c r="H17" s="1810"/>
    </row>
    <row r="18" spans="1:8">
      <c r="A18" s="846">
        <f>+A17+1</f>
        <v>6</v>
      </c>
      <c r="B18" s="1896" t="s">
        <v>256</v>
      </c>
      <c r="C18" s="1074"/>
      <c r="D18" s="1810"/>
    </row>
    <row r="19" spans="1:8">
      <c r="B19" s="1896"/>
      <c r="C19" s="1898"/>
      <c r="D19" s="1810"/>
    </row>
    <row r="20" spans="1:8">
      <c r="A20" s="846">
        <f>+A18+1</f>
        <v>7</v>
      </c>
      <c r="B20" s="1896" t="str">
        <f>" Net Funds from IPP Customers 12/31/"&amp;C8&amp;" ("&amp;C8&amp;" FORM 1, P269, (F))"</f>
        <v xml:space="preserve"> Net Funds from IPP Customers 12/31/2018 (2018 FORM 1, P269, (F))</v>
      </c>
      <c r="C20" s="1810">
        <f>+C10+C12+C14+C17+C18</f>
        <v>25140240</v>
      </c>
      <c r="D20" s="1794"/>
      <c r="E20" s="1077"/>
    </row>
    <row r="21" spans="1:8">
      <c r="B21" s="1896"/>
      <c r="C21" s="1810"/>
      <c r="D21" s="1810"/>
    </row>
    <row r="22" spans="1:8">
      <c r="A22" s="846">
        <f>+A20+1</f>
        <v>8</v>
      </c>
      <c r="B22" s="1896" t="str">
        <f>"Average Balance for "&amp;C8&amp;" ((ln "&amp;A10&amp;" + ln "&amp;A20&amp;")/2)"</f>
        <v>Average Balance for 2018 ((ln 1 + ln 7)/2)</v>
      </c>
      <c r="C22" s="1899">
        <f>AVERAGE(C20,C10)</f>
        <v>25201023.5</v>
      </c>
      <c r="D22" s="1810"/>
    </row>
    <row r="23" spans="1:8">
      <c r="C23" s="1810"/>
      <c r="D23" s="1810"/>
    </row>
    <row r="24" spans="1:8">
      <c r="C24" s="1810"/>
      <c r="D24" s="1810"/>
    </row>
    <row r="31" spans="1:8">
      <c r="D31" s="1900"/>
    </row>
    <row r="37" spans="3:3">
      <c r="C37" s="1901"/>
    </row>
    <row r="54" spans="1:1">
      <c r="A54" s="791"/>
    </row>
    <row r="55" spans="1:1">
      <c r="A55" s="791"/>
    </row>
    <row r="56" spans="1:1">
      <c r="A56" s="791"/>
    </row>
    <row r="57" spans="1:1">
      <c r="A57" s="791"/>
    </row>
    <row r="58" spans="1:1">
      <c r="A58" s="791"/>
    </row>
    <row r="59" spans="1:1">
      <c r="A59" s="791"/>
    </row>
    <row r="60" spans="1:1">
      <c r="A60" s="791"/>
    </row>
    <row r="61" spans="1:1">
      <c r="A61" s="791"/>
    </row>
    <row r="62" spans="1:1">
      <c r="A62" s="791"/>
    </row>
    <row r="63" spans="1:1">
      <c r="A63" s="791"/>
    </row>
    <row r="64" spans="1:1">
      <c r="A64" s="791"/>
    </row>
    <row r="65" spans="1:1">
      <c r="A65" s="791"/>
    </row>
    <row r="66" spans="1:1">
      <c r="A66" s="791"/>
    </row>
    <row r="67" spans="1:1">
      <c r="A67" s="791"/>
    </row>
    <row r="68" spans="1:1">
      <c r="A68" s="791"/>
    </row>
    <row r="69" spans="1:1">
      <c r="A69" s="791"/>
    </row>
    <row r="70" spans="1:1">
      <c r="A70" s="791"/>
    </row>
    <row r="71" spans="1:1">
      <c r="A71" s="791"/>
    </row>
    <row r="72" spans="1:1">
      <c r="A72" s="791"/>
    </row>
    <row r="73" spans="1:1">
      <c r="A73" s="791"/>
    </row>
    <row r="74" spans="1:1">
      <c r="A74" s="791"/>
    </row>
    <row r="75" spans="1:1">
      <c r="A75" s="791"/>
    </row>
    <row r="76" spans="1:1">
      <c r="A76" s="791"/>
    </row>
    <row r="77" spans="1:1">
      <c r="A77" s="791"/>
    </row>
    <row r="78" spans="1:1">
      <c r="A78" s="791"/>
    </row>
    <row r="79" spans="1:1">
      <c r="A79" s="791"/>
    </row>
    <row r="80" spans="1:1">
      <c r="A80" s="791"/>
    </row>
    <row r="81" spans="1:1">
      <c r="A81" s="791"/>
    </row>
    <row r="82" spans="1:1">
      <c r="A82" s="791"/>
    </row>
    <row r="83" spans="1:1">
      <c r="A83" s="791"/>
    </row>
    <row r="84" spans="1:1">
      <c r="A84" s="791"/>
    </row>
    <row r="85" spans="1:1">
      <c r="A85" s="791"/>
    </row>
    <row r="86" spans="1:1">
      <c r="A86" s="791"/>
    </row>
    <row r="87" spans="1:1">
      <c r="A87" s="791"/>
    </row>
    <row r="88" spans="1:1">
      <c r="A88" s="791"/>
    </row>
    <row r="89" spans="1:1">
      <c r="A89" s="791"/>
    </row>
    <row r="90" spans="1:1">
      <c r="A90" s="791"/>
    </row>
    <row r="91" spans="1:1">
      <c r="A91" s="791"/>
    </row>
    <row r="92" spans="1:1">
      <c r="A92" s="791"/>
    </row>
    <row r="93" spans="1:1">
      <c r="A93" s="791"/>
    </row>
    <row r="94" spans="1:1">
      <c r="A94" s="791"/>
    </row>
    <row r="95" spans="1:1">
      <c r="A95" s="791"/>
    </row>
    <row r="96" spans="1:1">
      <c r="A96" s="791"/>
    </row>
    <row r="97" spans="1:1">
      <c r="A97" s="791"/>
    </row>
    <row r="98" spans="1:1">
      <c r="A98" s="791"/>
    </row>
    <row r="99" spans="1:1">
      <c r="A99" s="791"/>
    </row>
    <row r="100" spans="1:1">
      <c r="A100" s="791"/>
    </row>
    <row r="101" spans="1:1">
      <c r="A101" s="791"/>
    </row>
    <row r="102" spans="1:1">
      <c r="A102" s="791"/>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4" zoomScale="81" zoomScaleNormal="81" zoomScaleSheetLayoutView="90" zoomScalePageLayoutView="80" workbookViewId="0">
      <selection activeCell="A4" sqref="A1:XFD1048576"/>
    </sheetView>
  </sheetViews>
  <sheetFormatPr defaultColWidth="8.85546875" defaultRowHeight="12.75"/>
  <cols>
    <col min="1" max="1" width="9.28515625" style="791" customWidth="1"/>
    <col min="2" max="2" width="6.7109375" style="791" customWidth="1"/>
    <col min="3" max="3" width="24.5703125" style="791" customWidth="1"/>
    <col min="4" max="4" width="17.7109375" style="846" customWidth="1"/>
    <col min="5" max="5" width="21.7109375" style="791" customWidth="1"/>
    <col min="6" max="8" width="17.7109375" style="791" customWidth="1"/>
    <col min="9" max="9" width="19.5703125" style="1794" customWidth="1"/>
    <col min="10" max="12" width="17.7109375" style="791" customWidth="1"/>
    <col min="13" max="13" width="20" style="791" customWidth="1"/>
    <col min="14" max="14" width="19.5703125" style="791" customWidth="1"/>
    <col min="15" max="15" width="19" style="779" customWidth="1"/>
    <col min="16" max="16" width="16.42578125" style="779" customWidth="1"/>
    <col min="17" max="17" width="57.85546875" style="791" bestFit="1" customWidth="1"/>
    <col min="18" max="16384" width="8.85546875" style="791"/>
  </cols>
  <sheetData>
    <row r="1" spans="1:19" ht="15">
      <c r="A1" s="1050"/>
    </row>
    <row r="2" spans="1:19" ht="18">
      <c r="A2" s="2561" t="str">
        <f>'SWEPCO TCOS'!F4</f>
        <v xml:space="preserve">AEP West SPP Member Operating Companies </v>
      </c>
      <c r="B2" s="2561"/>
      <c r="C2" s="2561"/>
      <c r="D2" s="2561"/>
      <c r="E2" s="2561"/>
      <c r="F2" s="2561"/>
      <c r="G2" s="2561"/>
      <c r="H2" s="2561"/>
      <c r="I2" s="2561"/>
    </row>
    <row r="3" spans="1:19" ht="18">
      <c r="A3" s="2561" t="str">
        <f>+'SWEPCO WS A-1 - Plant'!A3</f>
        <v xml:space="preserve">Actual / Projected 2018 Rate Year Cost of Service Formula Rate </v>
      </c>
      <c r="B3" s="2561"/>
      <c r="C3" s="2561"/>
      <c r="D3" s="2561"/>
      <c r="E3" s="2561"/>
      <c r="F3" s="2561"/>
      <c r="G3" s="2561"/>
      <c r="H3" s="2561"/>
      <c r="I3" s="2561"/>
      <c r="P3" s="1276"/>
    </row>
    <row r="4" spans="1:19" ht="18">
      <c r="A4" s="2561" t="s">
        <v>890</v>
      </c>
      <c r="B4" s="2561"/>
      <c r="C4" s="2561"/>
      <c r="D4" s="2561"/>
      <c r="E4" s="2561"/>
      <c r="F4" s="2561"/>
      <c r="G4" s="2561"/>
      <c r="H4" s="2561"/>
      <c r="I4" s="2561"/>
    </row>
    <row r="5" spans="1:19" ht="18">
      <c r="A5" s="2486" t="str">
        <f>+'SWEPCO TCOS'!F8</f>
        <v>SOUTHWESTERN ELECTRIC POWER COMPANY</v>
      </c>
      <c r="B5" s="2486"/>
      <c r="C5" s="2486"/>
      <c r="D5" s="2486"/>
      <c r="E5" s="2486"/>
      <c r="F5" s="2486"/>
      <c r="G5" s="2486"/>
      <c r="H5" s="2486"/>
      <c r="I5" s="2486"/>
      <c r="P5" s="791"/>
    </row>
    <row r="6" spans="1:19" ht="20.25">
      <c r="A6" s="1055"/>
      <c r="C6" s="1277"/>
      <c r="P6" s="1276" t="s">
        <v>500</v>
      </c>
    </row>
    <row r="7" spans="1:19" ht="35.25" customHeight="1">
      <c r="A7" s="1902" t="s">
        <v>310</v>
      </c>
      <c r="B7" s="1279" t="s">
        <v>312</v>
      </c>
      <c r="C7" s="2487" t="str">
        <f>"Calculate Return and Income Taxes with "&amp;F12&amp;" basis point ROE increase for Projects Qualified for Incentive."</f>
        <v>Calculate Return and Income Taxes with 0 basis point ROE increase for Projects Qualified for Incentive.</v>
      </c>
      <c r="D7" s="2562"/>
      <c r="E7" s="2562"/>
      <c r="F7" s="2562"/>
      <c r="G7" s="2562"/>
      <c r="H7" s="2562"/>
      <c r="I7" s="2562"/>
      <c r="J7" s="2563" t="s">
        <v>432</v>
      </c>
      <c r="K7" s="2563"/>
      <c r="L7" s="2563"/>
      <c r="M7" s="2563"/>
      <c r="N7" s="2563"/>
    </row>
    <row r="8" spans="1:19" ht="15.75" customHeight="1">
      <c r="A8" s="1902" t="s">
        <v>248</v>
      </c>
      <c r="C8" s="856"/>
      <c r="D8" s="856"/>
      <c r="E8" s="856"/>
      <c r="F8" s="856"/>
      <c r="G8" s="856"/>
      <c r="H8" s="856"/>
      <c r="I8" s="856"/>
      <c r="J8" s="2563"/>
      <c r="K8" s="2563"/>
      <c r="L8" s="2563"/>
      <c r="M8" s="2563"/>
      <c r="N8" s="2563"/>
      <c r="P8" s="791"/>
      <c r="Q8" s="791" t="s">
        <v>168</v>
      </c>
    </row>
    <row r="9" spans="1:19" ht="15.75">
      <c r="C9" s="1281" t="str">
        <f>"A.   Determine 'R' with hypothetical "&amp;F12&amp;" basis point increase in ROE for Identified Projects"</f>
        <v>A.   Determine 'R' with hypothetical 0 basis point increase in ROE for Identified Projects</v>
      </c>
      <c r="J9" s="2563"/>
      <c r="K9" s="2563"/>
      <c r="L9" s="2563"/>
      <c r="M9" s="2563"/>
      <c r="N9" s="2563"/>
      <c r="P9" s="1282" t="s">
        <v>162</v>
      </c>
      <c r="Q9" s="1276" t="s">
        <v>89</v>
      </c>
    </row>
    <row r="10" spans="1:19" ht="18" customHeight="1" thickBot="1">
      <c r="J10" s="2563"/>
      <c r="K10" s="2563"/>
      <c r="L10" s="2563"/>
      <c r="M10" s="2563"/>
      <c r="N10" s="2563"/>
      <c r="P10" s="1276" t="s">
        <v>439</v>
      </c>
    </row>
    <row r="11" spans="1:19" ht="13.5" thickBot="1">
      <c r="A11" s="846">
        <v>1</v>
      </c>
      <c r="C11" s="359" t="str">
        <f>"   ROE w/o incentives  (TCOS, ln "&amp;'SWEPCO TCOS'!B237&amp;")"</f>
        <v xml:space="preserve">   ROE w/o incentives  (TCOS, ln 143)</v>
      </c>
      <c r="E11" s="1903"/>
      <c r="F11" s="1904">
        <f>+'SWEPCO TCOS'!J237</f>
        <v>0.105</v>
      </c>
      <c r="G11" s="1904"/>
      <c r="H11" s="1905"/>
      <c r="I11" s="1906"/>
      <c r="J11" s="856"/>
      <c r="K11" s="856"/>
      <c r="L11" s="856"/>
      <c r="M11" s="856"/>
      <c r="N11" s="856"/>
      <c r="O11" s="1907"/>
      <c r="P11" s="1908" t="s">
        <v>481</v>
      </c>
      <c r="Q11" s="1909" t="s">
        <v>88</v>
      </c>
      <c r="R11" s="1290"/>
    </row>
    <row r="12" spans="1:19" ht="18" customHeight="1">
      <c r="A12" s="846">
        <f>+A11+1</f>
        <v>2</v>
      </c>
      <c r="C12" s="359" t="s">
        <v>150</v>
      </c>
      <c r="E12" s="1903"/>
      <c r="F12" s="1291">
        <v>0</v>
      </c>
      <c r="G12" s="1910" t="s">
        <v>340</v>
      </c>
      <c r="I12" s="791"/>
      <c r="J12" s="2480" t="s">
        <v>194</v>
      </c>
      <c r="K12" s="2481"/>
      <c r="L12" s="2481"/>
      <c r="M12" s="2481"/>
      <c r="N12" s="2482"/>
      <c r="O12" s="1907"/>
      <c r="P12" s="1911">
        <f>+K19</f>
        <v>2018</v>
      </c>
      <c r="Q12" s="1912" t="s">
        <v>51</v>
      </c>
      <c r="R12" s="1290"/>
    </row>
    <row r="13" spans="1:19" ht="17.25" customHeight="1">
      <c r="A13" s="846">
        <f>+A12+1</f>
        <v>3</v>
      </c>
      <c r="C13" s="359" t="str">
        <f>"   ROE with additional "&amp;F12&amp;" basis point incentive"</f>
        <v xml:space="preserve">   ROE with additional 0 basis point incentive</v>
      </c>
      <c r="D13" s="1903"/>
      <c r="E13" s="1903"/>
      <c r="F13" s="1913">
        <f>IF((F11+(F12/10000)&gt;0.1245),"ERROR",F11+(F12/10000))</f>
        <v>0.105</v>
      </c>
      <c r="G13" s="1296" t="s">
        <v>889</v>
      </c>
      <c r="I13" s="1914"/>
      <c r="J13" s="2483"/>
      <c r="K13" s="2484"/>
      <c r="L13" s="2484"/>
      <c r="M13" s="2484"/>
      <c r="N13" s="2485"/>
      <c r="O13" s="1907"/>
      <c r="P13" s="881">
        <f>+F11</f>
        <v>0.105</v>
      </c>
      <c r="Q13" s="791" t="str">
        <f>+C11</f>
        <v xml:space="preserve">   ROE w/o incentives  (TCOS, ln 143)</v>
      </c>
      <c r="R13" s="1915"/>
      <c r="S13" s="779"/>
    </row>
    <row r="14" spans="1:19" ht="16.5" customHeight="1">
      <c r="A14" s="846">
        <f t="shared" ref="A14:A73" si="0">+A13+1</f>
        <v>4</v>
      </c>
      <c r="C14" s="1916"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903"/>
      <c r="F14" s="1913"/>
      <c r="G14" s="1913"/>
      <c r="H14" s="1903"/>
      <c r="I14" s="1914"/>
      <c r="J14" s="2483"/>
      <c r="K14" s="2484"/>
      <c r="L14" s="2484"/>
      <c r="M14" s="2484"/>
      <c r="N14" s="2485"/>
      <c r="O14" s="1907"/>
      <c r="P14" s="1917">
        <f>+F12</f>
        <v>0</v>
      </c>
      <c r="Q14" s="1912" t="s">
        <v>150</v>
      </c>
      <c r="R14" s="1915"/>
      <c r="S14" s="779"/>
    </row>
    <row r="15" spans="1:19" ht="16.5" customHeight="1">
      <c r="A15" s="846">
        <f t="shared" si="0"/>
        <v>5</v>
      </c>
      <c r="C15" s="1907"/>
      <c r="D15" s="1302" t="s">
        <v>287</v>
      </c>
      <c r="E15" s="1302" t="s">
        <v>286</v>
      </c>
      <c r="F15" s="1303" t="s">
        <v>372</v>
      </c>
      <c r="G15" s="1303"/>
      <c r="H15" s="1903"/>
      <c r="I15" s="1914"/>
      <c r="J15" s="1304"/>
      <c r="K15" s="1305"/>
      <c r="L15" s="1305"/>
      <c r="M15" s="1305"/>
      <c r="N15" s="1306"/>
      <c r="O15" s="1907"/>
      <c r="P15" s="1918">
        <f>+D16</f>
        <v>0.52637758415886271</v>
      </c>
      <c r="Q15" s="1919" t="s">
        <v>442</v>
      </c>
      <c r="R15" s="1915"/>
      <c r="S15" s="779"/>
    </row>
    <row r="16" spans="1:19">
      <c r="A16" s="846">
        <f t="shared" si="0"/>
        <v>6</v>
      </c>
      <c r="C16" s="1920" t="s">
        <v>375</v>
      </c>
      <c r="D16" s="1921">
        <f>'SWEPCO TCOS'!G235</f>
        <v>0.52637758415886271</v>
      </c>
      <c r="E16" s="1922">
        <f>+'SWEPCO TCOS'!J235</f>
        <v>4.6226794190279752E-2</v>
      </c>
      <c r="F16" s="1923">
        <f>E16*D16</f>
        <v>2.4332748249288407E-2</v>
      </c>
      <c r="G16" s="1924"/>
      <c r="H16" s="1903"/>
      <c r="I16" s="1914"/>
      <c r="J16" s="1925"/>
      <c r="K16" s="1926"/>
      <c r="L16" s="1926"/>
      <c r="M16" s="1926"/>
      <c r="N16" s="1927"/>
      <c r="O16" s="1928"/>
      <c r="P16" s="1918">
        <f>+E16</f>
        <v>4.6226794190279752E-2</v>
      </c>
      <c r="Q16" s="1919" t="s">
        <v>443</v>
      </c>
      <c r="R16" s="1915"/>
      <c r="S16" s="779"/>
    </row>
    <row r="17" spans="1:19">
      <c r="A17" s="846">
        <f t="shared" si="0"/>
        <v>7</v>
      </c>
      <c r="C17" s="1920" t="s">
        <v>376</v>
      </c>
      <c r="D17" s="1921">
        <f>'SWEPCO TCOS'!G236</f>
        <v>0</v>
      </c>
      <c r="E17" s="1922">
        <f>+'SWEPCO TCOS'!J236</f>
        <v>0</v>
      </c>
      <c r="F17" s="1923">
        <f>E17*D17</f>
        <v>0</v>
      </c>
      <c r="G17" s="1924"/>
      <c r="H17" s="1929"/>
      <c r="I17" s="1929"/>
      <c r="J17" s="1930"/>
      <c r="K17" s="336"/>
      <c r="L17" s="1907" t="s">
        <v>373</v>
      </c>
      <c r="M17" s="1907" t="s">
        <v>434</v>
      </c>
      <c r="N17" s="1931" t="s">
        <v>374</v>
      </c>
      <c r="O17" s="1932"/>
      <c r="P17" s="1918">
        <f>+D17</f>
        <v>0</v>
      </c>
      <c r="Q17" s="1919" t="s">
        <v>444</v>
      </c>
      <c r="R17" s="1915"/>
      <c r="S17" s="779"/>
    </row>
    <row r="18" spans="1:19">
      <c r="A18" s="846">
        <f t="shared" si="0"/>
        <v>8</v>
      </c>
      <c r="C18" s="1920" t="s">
        <v>368</v>
      </c>
      <c r="D18" s="1921">
        <f>'SWEPCO TCOS'!G237</f>
        <v>0.47362241584113723</v>
      </c>
      <c r="E18" s="1922">
        <f>+F13</f>
        <v>0.105</v>
      </c>
      <c r="F18" s="1323">
        <f>E18*D18</f>
        <v>4.9730353663319404E-2</v>
      </c>
      <c r="G18" s="1324"/>
      <c r="H18" s="1929"/>
      <c r="I18" s="1929"/>
      <c r="J18" s="1933"/>
      <c r="K18" s="779"/>
      <c r="L18" s="779"/>
      <c r="M18" s="779"/>
      <c r="N18" s="1912"/>
      <c r="O18" s="1932"/>
      <c r="P18" s="1918">
        <f>+E17</f>
        <v>0</v>
      </c>
      <c r="Q18" s="1919" t="s">
        <v>445</v>
      </c>
      <c r="R18" s="1915"/>
      <c r="S18" s="779"/>
    </row>
    <row r="19" spans="1:19" ht="13.5" thickBot="1">
      <c r="A19" s="846">
        <f t="shared" si="0"/>
        <v>9</v>
      </c>
      <c r="C19" s="359"/>
      <c r="D19" s="1903"/>
      <c r="E19" s="1934" t="s">
        <v>377</v>
      </c>
      <c r="F19" s="1923">
        <f>SUM(F16:F18)</f>
        <v>7.4063101912607815E-2</v>
      </c>
      <c r="G19" s="1924"/>
      <c r="H19" s="1935"/>
      <c r="I19" s="1929"/>
      <c r="J19" s="1936" t="s">
        <v>430</v>
      </c>
      <c r="K19" s="1937">
        <f>+'SWEPCO TCOS'!$N$2</f>
        <v>2018</v>
      </c>
      <c r="L19" s="1938">
        <f>+P44</f>
        <v>0</v>
      </c>
      <c r="M19" s="1938">
        <f>+P45</f>
        <v>0</v>
      </c>
      <c r="N19" s="1939">
        <f>+P46</f>
        <v>0</v>
      </c>
      <c r="O19" s="1932"/>
      <c r="P19" s="1918">
        <f>+D18</f>
        <v>0.47362241584113723</v>
      </c>
      <c r="Q19" s="1940" t="s">
        <v>446</v>
      </c>
      <c r="R19" s="1915"/>
      <c r="S19" s="779"/>
    </row>
    <row r="20" spans="1:19">
      <c r="A20" s="846"/>
      <c r="D20" s="1941"/>
      <c r="E20" s="1941"/>
      <c r="F20" s="1929"/>
      <c r="G20" s="1929"/>
      <c r="H20" s="1929"/>
      <c r="I20" s="1929"/>
      <c r="J20" s="1334"/>
      <c r="K20" s="1334"/>
      <c r="L20" s="1334"/>
      <c r="M20" s="1334"/>
      <c r="N20" s="1334"/>
      <c r="O20" s="1942"/>
      <c r="P20" s="1943">
        <f>+E23</f>
        <v>957663013.00558138</v>
      </c>
      <c r="Q20" s="1944" t="str">
        <f>+C23</f>
        <v xml:space="preserve">   Rate Base  (TCOS, ln 63)</v>
      </c>
      <c r="R20" s="1290"/>
      <c r="S20" s="779"/>
    </row>
    <row r="21" spans="1:19" ht="15.75">
      <c r="A21" s="846"/>
      <c r="C21" s="1281" t="str">
        <f>"B.   Determine Return using 'R' with hypothetical "&amp;F12&amp;" basis point ROE increase for Identified Projects."</f>
        <v>B.   Determine Return using 'R' with hypothetical 0 basis point ROE increase for Identified Projects.</v>
      </c>
      <c r="D21" s="1941"/>
      <c r="E21" s="1941"/>
      <c r="F21" s="1929"/>
      <c r="G21" s="1929"/>
      <c r="H21" s="1929"/>
      <c r="I21" s="1903"/>
      <c r="J21" s="1338"/>
      <c r="K21" s="1334"/>
      <c r="L21" s="1334"/>
      <c r="M21" s="1334"/>
      <c r="N21" s="1334"/>
      <c r="O21" s="1942"/>
      <c r="P21" s="1945">
        <f>+F30</f>
        <v>0.24697199999999997</v>
      </c>
      <c r="Q21" s="1912" t="str">
        <f>+C30</f>
        <v xml:space="preserve">   Tax Rate  (TCOS, ln 99)</v>
      </c>
      <c r="R21" s="1915"/>
      <c r="S21" s="779"/>
    </row>
    <row r="22" spans="1:19">
      <c r="A22" s="846"/>
      <c r="C22" s="1907"/>
      <c r="D22" s="1941"/>
      <c r="E22" s="1941"/>
      <c r="F22" s="1942"/>
      <c r="G22" s="1942"/>
      <c r="H22" s="1942"/>
      <c r="I22" s="1942"/>
      <c r="J22" s="1334"/>
      <c r="K22" s="1334"/>
      <c r="L22" s="1334"/>
      <c r="M22" s="1334"/>
      <c r="N22" s="1334"/>
      <c r="O22" s="1942"/>
      <c r="P22" s="1946">
        <f>+F33</f>
        <v>-362683.52887335472</v>
      </c>
      <c r="Q22" s="1912" t="str">
        <f>+C33</f>
        <v xml:space="preserve">   ITC Adjustment  (TCOS, ln 108)</v>
      </c>
      <c r="R22" s="1915"/>
      <c r="S22" s="779"/>
    </row>
    <row r="23" spans="1:19">
      <c r="A23" s="846">
        <f>+A19+1</f>
        <v>10</v>
      </c>
      <c r="C23" s="359" t="str">
        <f>"   Rate Base  (TCOS, ln "&amp;'SWEPCO TCOS'!B113&amp;")"</f>
        <v xml:space="preserve">   Rate Base  (TCOS, ln 63)</v>
      </c>
      <c r="D23" s="1903"/>
      <c r="E23" s="1947">
        <f>+'SWEPCO TCOS'!L113</f>
        <v>957663013.00558138</v>
      </c>
      <c r="F23" s="1948"/>
      <c r="G23" s="1948"/>
      <c r="H23" s="1942"/>
      <c r="I23" s="1942"/>
      <c r="J23" s="1334"/>
      <c r="K23" s="1334"/>
      <c r="L23" s="1334"/>
      <c r="M23" s="1334"/>
      <c r="N23" s="1334"/>
      <c r="O23" s="1942"/>
      <c r="P23" s="1946">
        <f>+F34</f>
        <v>-4665638.9935035612</v>
      </c>
      <c r="Q23" s="1912" t="str">
        <f>+C34</f>
        <v xml:space="preserve">   Excess DFIT Adjustment  (TCOS, ln 109)</v>
      </c>
      <c r="R23" s="1915"/>
      <c r="S23" s="779"/>
    </row>
    <row r="24" spans="1:19">
      <c r="A24" s="846">
        <f t="shared" si="0"/>
        <v>11</v>
      </c>
      <c r="C24" s="1907" t="s">
        <v>346</v>
      </c>
      <c r="D24" s="1905"/>
      <c r="E24" s="1949">
        <f>F19</f>
        <v>7.4063101912607815E-2</v>
      </c>
      <c r="F24" s="1942"/>
      <c r="G24" s="1942"/>
      <c r="H24" s="1942"/>
      <c r="I24" s="1942"/>
      <c r="J24" s="1334"/>
      <c r="K24" s="1334"/>
      <c r="L24" s="1334"/>
      <c r="M24" s="1334"/>
      <c r="N24" s="1334"/>
      <c r="O24" s="1942"/>
      <c r="P24" s="1946">
        <f>+F35</f>
        <v>357516.58636863431</v>
      </c>
      <c r="Q24" s="1912" t="str">
        <f>+C35</f>
        <v xml:space="preserve">   Tax Effect of Permanent and Flow Through Differences  (TCOS, ln 110)</v>
      </c>
      <c r="R24" s="1915"/>
      <c r="S24" s="779"/>
    </row>
    <row r="25" spans="1:19" ht="15">
      <c r="A25" s="846">
        <f t="shared" si="0"/>
        <v>12</v>
      </c>
      <c r="C25" s="1950" t="s">
        <v>378</v>
      </c>
      <c r="D25" s="1950"/>
      <c r="E25" s="1951">
        <f>E23*E24</f>
        <v>70927493.330167443</v>
      </c>
      <c r="F25" s="1942"/>
      <c r="G25" s="1942"/>
      <c r="H25" s="1942"/>
      <c r="I25" s="1942"/>
      <c r="J25" s="873"/>
      <c r="K25" s="873"/>
      <c r="L25" s="873"/>
      <c r="M25" s="873"/>
      <c r="N25" s="804"/>
      <c r="O25" s="1932"/>
      <c r="P25" s="1946">
        <f>+F42</f>
        <v>167607353.40002003</v>
      </c>
      <c r="Q25" s="1912" t="str">
        <f>+C42</f>
        <v xml:space="preserve">   Net Revenue Requirement  (TCOS, ln 117)</v>
      </c>
      <c r="R25" s="1915"/>
      <c r="S25" s="779"/>
    </row>
    <row r="26" spans="1:19" ht="20.25">
      <c r="A26" s="846"/>
      <c r="C26" s="1950"/>
      <c r="D26" s="1914"/>
      <c r="E26" s="1914"/>
      <c r="F26" s="1942"/>
      <c r="G26" s="1942"/>
      <c r="H26" s="1942"/>
      <c r="I26" s="1942"/>
      <c r="J26" s="1346" t="s">
        <v>129</v>
      </c>
      <c r="K26" s="1347" t="s">
        <v>440</v>
      </c>
      <c r="L26" s="1348"/>
      <c r="M26" s="1348"/>
      <c r="N26" s="1349"/>
      <c r="O26" s="1932"/>
      <c r="P26" s="1946">
        <f>+F43</f>
        <v>70927493.330167443</v>
      </c>
      <c r="Q26" s="1912" t="str">
        <f>+C43</f>
        <v xml:space="preserve">   Return  (TCOS, ln 112)</v>
      </c>
      <c r="R26" s="1915"/>
      <c r="S26" s="779"/>
    </row>
    <row r="27" spans="1:19" ht="18">
      <c r="A27" s="846"/>
      <c r="C27" s="1281" t="str">
        <f>"C.   Determine Income Taxes using Return with hypothetical "&amp;F12&amp;" basis point ROE increase for Identified Projects."</f>
        <v>C.   Determine Income Taxes using Return with hypothetical 0 basis point ROE increase for Identified Projects.</v>
      </c>
      <c r="D27" s="1952"/>
      <c r="E27" s="1952"/>
      <c r="F27" s="1953"/>
      <c r="G27" s="1953"/>
      <c r="H27" s="1953"/>
      <c r="I27" s="1953"/>
      <c r="J27" s="1932"/>
      <c r="K27" s="1352" t="s">
        <v>429</v>
      </c>
      <c r="L27" s="1353"/>
      <c r="M27" s="1353"/>
      <c r="N27" s="1349"/>
      <c r="O27" s="1954"/>
      <c r="P27" s="1946">
        <f>+F44</f>
        <v>10948828.158622464</v>
      </c>
      <c r="Q27" s="1912" t="str">
        <f>+C44</f>
        <v xml:space="preserve">   Income Taxes  (TCOS, ln 111)</v>
      </c>
      <c r="R27" s="1915"/>
      <c r="S27" s="779"/>
    </row>
    <row r="28" spans="1:19" ht="14.25" customHeight="1">
      <c r="A28" s="846"/>
      <c r="C28" s="359"/>
      <c r="D28" s="1914"/>
      <c r="E28" s="1914"/>
      <c r="F28" s="1942"/>
      <c r="G28" s="1942"/>
      <c r="H28" s="1942"/>
      <c r="I28" s="1942"/>
      <c r="O28" s="1932"/>
      <c r="P28" s="1946">
        <f>+F45</f>
        <v>67749.986471661759</v>
      </c>
      <c r="Q28" s="1912" t="str">
        <f>C45</f>
        <v xml:space="preserve">  Gross Margin Taxes  (TCOS, ln 116)</v>
      </c>
      <c r="R28" s="1915"/>
      <c r="S28" s="1290"/>
    </row>
    <row r="29" spans="1:19" ht="19.5" customHeight="1">
      <c r="A29" s="846">
        <f>+A25+1</f>
        <v>13</v>
      </c>
      <c r="C29" s="1907" t="s">
        <v>379</v>
      </c>
      <c r="D29" s="1934"/>
      <c r="F29" s="1955">
        <f>E25</f>
        <v>70927493.330167443</v>
      </c>
      <c r="G29" s="1942"/>
      <c r="H29" s="1942"/>
      <c r="I29" s="1942"/>
      <c r="O29" s="1942"/>
      <c r="P29" s="1946">
        <f>+F55</f>
        <v>39708119.730258666</v>
      </c>
      <c r="Q29" s="1912" t="str">
        <f>+C55</f>
        <v xml:space="preserve">   Less: Depreciation  (TCOS, ln 86)</v>
      </c>
      <c r="R29" s="1915"/>
      <c r="S29" s="779"/>
    </row>
    <row r="30" spans="1:19">
      <c r="A30" s="846">
        <f t="shared" si="0"/>
        <v>14</v>
      </c>
      <c r="C30" s="359" t="str">
        <f>"   Tax Rate  (TCOS, ln "&amp;'SWEPCO TCOS'!B168&amp;")"</f>
        <v xml:space="preserve">   Tax Rate  (TCOS, ln 99)</v>
      </c>
      <c r="D30" s="1934"/>
      <c r="F30" s="1956">
        <f>+'SWEPCO TCOS'!G168</f>
        <v>0.24697199999999997</v>
      </c>
      <c r="G30" s="1942"/>
      <c r="H30" s="1942"/>
      <c r="I30" s="1942"/>
      <c r="O30" s="1942"/>
      <c r="P30" s="1945">
        <f>+F61</f>
        <v>0.39634968110566327</v>
      </c>
      <c r="Q30" s="1912" t="str">
        <f>+C61</f>
        <v xml:space="preserve">       Apportionment Factor to Texas (Worksheet K, ln 12)</v>
      </c>
      <c r="R30" s="1915"/>
      <c r="S30" s="779"/>
    </row>
    <row r="31" spans="1:19">
      <c r="A31" s="846">
        <f t="shared" si="0"/>
        <v>15</v>
      </c>
      <c r="C31" s="1907" t="s">
        <v>201</v>
      </c>
      <c r="F31" s="1913">
        <f>IF(F16&gt;0,($F30/(1-$F30))*(1-$F16/$F19),0)</f>
        <v>0.22021973936004419</v>
      </c>
      <c r="P31" s="1946">
        <f>+F71</f>
        <v>1211852140.3736484</v>
      </c>
      <c r="Q31" s="1912" t="str">
        <f>+C71</f>
        <v xml:space="preserve">   Net Transmission Plant  (TCOS, ln 37)</v>
      </c>
      <c r="R31" s="1915"/>
      <c r="S31" s="779"/>
    </row>
    <row r="32" spans="1:19">
      <c r="A32" s="846">
        <f t="shared" si="0"/>
        <v>16</v>
      </c>
      <c r="C32" s="1950" t="s">
        <v>202</v>
      </c>
      <c r="F32" s="1957">
        <f>F29*F31</f>
        <v>15619634.094630746</v>
      </c>
      <c r="P32" s="1958">
        <f>+F77</f>
        <v>0.10554029605486887</v>
      </c>
      <c r="Q32" s="1959" t="str">
        <f>+C77</f>
        <v xml:space="preserve">   FCR less Depreciation  (TCOS, ln 10)</v>
      </c>
      <c r="R32" s="1915"/>
      <c r="S32" s="1960"/>
    </row>
    <row r="33" spans="1:19" ht="15">
      <c r="A33" s="846">
        <f t="shared" si="0"/>
        <v>17</v>
      </c>
      <c r="C33" s="359" t="str">
        <f>"   ITC Adjustment  (TCOS, ln "&amp;'SWEPCO TCOS'!B178&amp;")"</f>
        <v xml:space="preserve">   ITC Adjustment  (TCOS, ln 108)</v>
      </c>
      <c r="D33" s="873"/>
      <c r="F33" s="1942">
        <f>+'SWEPCO TCOS'!L178</f>
        <v>-362683.52887335472</v>
      </c>
      <c r="G33" s="873"/>
      <c r="H33" s="873"/>
      <c r="I33" s="873"/>
      <c r="O33" s="873"/>
      <c r="P33" s="1958">
        <f>+F81</f>
        <v>1774860127.5</v>
      </c>
      <c r="Q33" s="1959" t="str">
        <f>+C81</f>
        <v>Transmission Plant Average Balance for 2018 (WS A-1 Ln 14 Col (d))</v>
      </c>
      <c r="R33" s="1915"/>
      <c r="S33" s="1290"/>
    </row>
    <row r="34" spans="1:19" ht="15">
      <c r="A34" s="846">
        <f t="shared" si="0"/>
        <v>18</v>
      </c>
      <c r="C34" s="359" t="str">
        <f>"   Excess DFIT Adjustment  (TCOS, ln "&amp;'SWEPCO TCOS'!B179&amp;")"</f>
        <v xml:space="preserve">   Excess DFIT Adjustment  (TCOS, ln 109)</v>
      </c>
      <c r="D34" s="873"/>
      <c r="F34" s="1942">
        <f>+'SWEPCO TCOS'!L179</f>
        <v>-4665638.9935035612</v>
      </c>
      <c r="G34" s="873"/>
      <c r="H34" s="873"/>
      <c r="I34" s="873"/>
      <c r="O34" s="873"/>
      <c r="P34" s="1898">
        <f>+F82</f>
        <v>41812686</v>
      </c>
      <c r="Q34" s="1961" t="str">
        <f>+C82</f>
        <v>Annual Depreciation Expense  (TCOS, ln 86)</v>
      </c>
      <c r="R34" s="1915"/>
      <c r="S34" s="1290"/>
    </row>
    <row r="35" spans="1:19" ht="15">
      <c r="A35" s="846">
        <f t="shared" si="0"/>
        <v>19</v>
      </c>
      <c r="C35" s="359" t="str">
        <f>"   Tax Effect of Permanent and Flow Through Differences  (TCOS, ln "&amp;'SWEPCO TCOS'!B180&amp;")"</f>
        <v xml:space="preserve">   Tax Effect of Permanent and Flow Through Differences  (TCOS, ln 110)</v>
      </c>
      <c r="D35" s="873"/>
      <c r="F35" s="1942">
        <f>+'SWEPCO TCOS'!L180</f>
        <v>357516.58636863431</v>
      </c>
      <c r="G35" s="873"/>
      <c r="H35" s="873"/>
      <c r="I35" s="873"/>
      <c r="O35" s="873"/>
      <c r="P35" s="791"/>
      <c r="R35" s="1915"/>
      <c r="S35" s="1290"/>
    </row>
    <row r="36" spans="1:19" ht="15">
      <c r="A36" s="846">
        <f t="shared" si="0"/>
        <v>20</v>
      </c>
      <c r="C36" s="1950" t="s">
        <v>380</v>
      </c>
      <c r="D36" s="873"/>
      <c r="F36" s="1962">
        <f>+SUM(F32:F35)</f>
        <v>10948828.158622464</v>
      </c>
      <c r="G36" s="873"/>
      <c r="H36" s="873"/>
      <c r="I36" s="873"/>
      <c r="O36" s="873"/>
      <c r="P36" s="791"/>
    </row>
    <row r="37" spans="1:19" ht="12.75" customHeight="1">
      <c r="A37" s="846"/>
      <c r="C37" s="835"/>
      <c r="D37" s="873"/>
      <c r="E37" s="873"/>
      <c r="F37" s="873"/>
      <c r="G37" s="873"/>
      <c r="H37" s="873"/>
      <c r="I37" s="873"/>
      <c r="O37" s="873"/>
      <c r="P37" s="1077" t="s">
        <v>169</v>
      </c>
      <c r="Q37" s="1276" t="s">
        <v>438</v>
      </c>
    </row>
    <row r="38" spans="1:19" ht="18.75">
      <c r="A38" s="846"/>
      <c r="B38" s="1279" t="s">
        <v>313</v>
      </c>
      <c r="C38" s="1277" t="str">
        <f>"Calculate Net Plant Carrying Charge Rate (Fixed Charge Rate or FCR) with hypothetical "&amp;F12&amp;" basis point"</f>
        <v>Calculate Net Plant Carrying Charge Rate (Fixed Charge Rate or FCR) with hypothetical 0 basis point</v>
      </c>
      <c r="D38" s="873"/>
      <c r="E38" s="873"/>
      <c r="F38" s="873"/>
      <c r="G38" s="873"/>
      <c r="H38" s="873"/>
      <c r="I38" s="873"/>
      <c r="O38" s="873"/>
      <c r="P38" s="791"/>
    </row>
    <row r="39" spans="1:19" ht="18.75" customHeight="1">
      <c r="A39" s="846"/>
      <c r="B39" s="1279"/>
      <c r="C39" s="1277" t="str">
        <f>"ROE increase."</f>
        <v>ROE increase.</v>
      </c>
      <c r="D39" s="873"/>
      <c r="E39" s="873"/>
      <c r="F39" s="873"/>
      <c r="G39" s="873"/>
      <c r="H39" s="873"/>
      <c r="I39" s="873"/>
      <c r="O39" s="873"/>
      <c r="P39" s="791"/>
    </row>
    <row r="40" spans="1:19" ht="12.75" customHeight="1">
      <c r="A40" s="846"/>
      <c r="C40" s="835"/>
      <c r="D40" s="873"/>
      <c r="E40" s="873"/>
      <c r="F40" s="873"/>
      <c r="G40" s="873"/>
      <c r="H40" s="873"/>
      <c r="I40" s="873"/>
      <c r="O40" s="873"/>
      <c r="P40" s="1276" t="s">
        <v>170</v>
      </c>
      <c r="Q40" s="1276" t="s">
        <v>438</v>
      </c>
    </row>
    <row r="41" spans="1:19" ht="15.75">
      <c r="A41" s="846"/>
      <c r="C41" s="1281" t="s">
        <v>151</v>
      </c>
      <c r="D41" s="873"/>
      <c r="E41" s="873"/>
      <c r="F41" s="659"/>
      <c r="G41" s="659"/>
      <c r="H41" s="873"/>
      <c r="I41" s="873"/>
      <c r="O41" s="873"/>
      <c r="P41" s="1276"/>
      <c r="Q41" s="1077"/>
    </row>
    <row r="42" spans="1:19" ht="12.75" customHeight="1">
      <c r="A42" s="846">
        <f>+A36+1</f>
        <v>21</v>
      </c>
      <c r="C42" s="359" t="str">
        <f>"   Net Revenue Requirement  (TCOS, ln "&amp;'SWEPCO TCOS'!B193&amp;")"</f>
        <v xml:space="preserve">   Net Revenue Requirement  (TCOS, ln 117)</v>
      </c>
      <c r="D42" s="1963"/>
      <c r="E42" s="1963"/>
      <c r="F42" s="1942">
        <f>+'SWEPCO TCOS'!L193</f>
        <v>167607353.40002003</v>
      </c>
      <c r="G42" s="1942"/>
      <c r="H42" s="1963"/>
      <c r="I42" s="1963"/>
      <c r="J42" s="1963"/>
      <c r="K42" s="1963"/>
      <c r="L42" s="1963"/>
      <c r="M42" s="1963"/>
      <c r="N42" s="1942"/>
      <c r="O42" s="1963"/>
      <c r="P42" s="1964" t="s">
        <v>166</v>
      </c>
      <c r="Q42" s="1965" t="s">
        <v>167</v>
      </c>
    </row>
    <row r="43" spans="1:19" ht="13.5" thickBot="1">
      <c r="A43" s="846">
        <f t="shared" si="0"/>
        <v>22</v>
      </c>
      <c r="C43" s="359" t="str">
        <f>"   Return  (TCOS, ln "&amp;'SWEPCO TCOS'!B184&amp;")"</f>
        <v xml:space="preserve">   Return  (TCOS, ln 112)</v>
      </c>
      <c r="D43" s="1963"/>
      <c r="E43" s="1963"/>
      <c r="F43" s="1932">
        <f>+'SWEPCO TCOS'!L184</f>
        <v>70927493.330167443</v>
      </c>
      <c r="G43" s="1932"/>
      <c r="H43" s="1966"/>
      <c r="I43" s="1966"/>
      <c r="J43" s="1966"/>
      <c r="K43" s="1966"/>
      <c r="L43" s="1966"/>
      <c r="M43" s="1966"/>
      <c r="N43" s="1942"/>
      <c r="O43" s="1966"/>
      <c r="P43" s="1967" t="s">
        <v>69</v>
      </c>
      <c r="Q43" s="1968"/>
    </row>
    <row r="44" spans="1:19">
      <c r="A44" s="846">
        <f t="shared" si="0"/>
        <v>23</v>
      </c>
      <c r="C44" s="359" t="str">
        <f>"   Income Taxes  (TCOS, ln "&amp;'SWEPCO TCOS'!B182&amp;")"</f>
        <v xml:space="preserve">   Income Taxes  (TCOS, ln 111)</v>
      </c>
      <c r="D44" s="1963"/>
      <c r="E44" s="1963"/>
      <c r="F44" s="1942">
        <f>+'SWEPCO TCOS'!L182</f>
        <v>10948828.158622464</v>
      </c>
      <c r="G44" s="1942"/>
      <c r="H44" s="1963"/>
      <c r="I44" s="1963"/>
      <c r="J44" s="1969"/>
      <c r="K44" s="1969"/>
      <c r="L44" s="1969"/>
      <c r="M44" s="1969"/>
      <c r="N44" s="1963"/>
      <c r="O44" s="1969"/>
      <c r="P44" s="1371"/>
      <c r="Q44" s="1968" t="s">
        <v>163</v>
      </c>
    </row>
    <row r="45" spans="1:19">
      <c r="A45" s="846">
        <f t="shared" si="0"/>
        <v>24</v>
      </c>
      <c r="C45" s="359" t="str">
        <f>"  Gross Margin Taxes  (TCOS, ln "&amp;'SWEPCO TCOS'!B191&amp;")"</f>
        <v xml:space="preserve">  Gross Margin Taxes  (TCOS, ln 116)</v>
      </c>
      <c r="D45" s="1963"/>
      <c r="E45" s="1963"/>
      <c r="F45" s="1970">
        <f>+'SWEPCO TCOS'!L191</f>
        <v>67749.986471661759</v>
      </c>
      <c r="G45" s="1942"/>
      <c r="H45" s="1963"/>
      <c r="I45" s="1963"/>
      <c r="J45" s="1969"/>
      <c r="K45" s="1969"/>
      <c r="L45" s="1969"/>
      <c r="M45" s="1969"/>
      <c r="N45" s="1963"/>
      <c r="O45" s="1969"/>
      <c r="P45" s="1373"/>
      <c r="Q45" s="1968" t="s">
        <v>164</v>
      </c>
    </row>
    <row r="46" spans="1:19" ht="13.5" thickBot="1">
      <c r="A46" s="846">
        <f t="shared" si="0"/>
        <v>25</v>
      </c>
      <c r="C46" s="779" t="s">
        <v>23</v>
      </c>
      <c r="D46" s="1963"/>
      <c r="E46" s="1963"/>
      <c r="F46" s="1932">
        <f>F42-F43-F44-F45</f>
        <v>85663281.924758464</v>
      </c>
      <c r="G46" s="1932"/>
      <c r="H46" s="336"/>
      <c r="I46" s="1963"/>
      <c r="J46" s="336"/>
      <c r="K46" s="336"/>
      <c r="L46" s="336"/>
      <c r="M46" s="336"/>
      <c r="N46" s="336"/>
      <c r="O46" s="336"/>
      <c r="P46" s="1374"/>
      <c r="Q46" s="1968" t="s">
        <v>165</v>
      </c>
    </row>
    <row r="47" spans="1:19" s="779" customFormat="1">
      <c r="A47" s="846"/>
      <c r="B47" s="791"/>
      <c r="C47" s="359"/>
      <c r="D47" s="1963"/>
      <c r="E47" s="1963"/>
      <c r="F47" s="1942"/>
      <c r="G47" s="1942"/>
      <c r="H47" s="1971"/>
      <c r="I47" s="1972"/>
      <c r="J47" s="1972"/>
      <c r="K47" s="1972"/>
      <c r="L47" s="1972"/>
      <c r="M47" s="1972"/>
      <c r="N47" s="1972"/>
      <c r="O47" s="1972"/>
      <c r="Q47" s="791"/>
      <c r="R47" s="791"/>
      <c r="S47" s="791"/>
    </row>
    <row r="48" spans="1:19" s="779" customFormat="1" ht="15.75">
      <c r="A48" s="846"/>
      <c r="B48" s="791"/>
      <c r="C48" s="1281" t="str">
        <f>"B.   Determine Net Revenue Requirement with hypothetical "&amp;F12&amp;" basis point increase in ROE."</f>
        <v>B.   Determine Net Revenue Requirement with hypothetical 0 basis point increase in ROE.</v>
      </c>
      <c r="D48" s="1907"/>
      <c r="E48" s="1907"/>
      <c r="F48" s="1942"/>
      <c r="G48" s="1942"/>
      <c r="H48" s="1971"/>
      <c r="I48" s="1972"/>
      <c r="J48" s="1972"/>
      <c r="K48" s="1972"/>
      <c r="L48" s="1972"/>
      <c r="M48" s="1972"/>
      <c r="N48" s="1972"/>
      <c r="O48" s="1972"/>
      <c r="R48" s="791"/>
      <c r="S48" s="791"/>
    </row>
    <row r="49" spans="1:19" s="779" customFormat="1">
      <c r="A49" s="846">
        <f>+A46+1</f>
        <v>26</v>
      </c>
      <c r="B49" s="791"/>
      <c r="C49" s="359" t="str">
        <f>C46</f>
        <v xml:space="preserve">   Net Revenue Requirement, Less Return and Taxes</v>
      </c>
      <c r="D49" s="1907"/>
      <c r="E49" s="1907"/>
      <c r="F49" s="1942">
        <f>F46</f>
        <v>85663281.924758464</v>
      </c>
      <c r="G49" s="1942"/>
      <c r="H49" s="1963"/>
      <c r="I49" s="1963"/>
      <c r="J49" s="1963"/>
      <c r="K49" s="1963"/>
      <c r="L49" s="1963"/>
      <c r="M49" s="1963"/>
      <c r="N49" s="1377"/>
      <c r="O49" s="1963"/>
      <c r="R49" s="791"/>
      <c r="S49" s="791"/>
    </row>
    <row r="50" spans="1:19" s="779" customFormat="1">
      <c r="A50" s="846">
        <f t="shared" si="0"/>
        <v>27</v>
      </c>
      <c r="B50" s="791"/>
      <c r="C50" s="1907" t="s">
        <v>388</v>
      </c>
      <c r="D50" s="1973"/>
      <c r="F50" s="1974">
        <f>E25</f>
        <v>70927493.330167443</v>
      </c>
      <c r="G50" s="1974"/>
      <c r="I50" s="1814"/>
      <c r="Q50" s="791"/>
      <c r="R50" s="791"/>
      <c r="S50" s="791"/>
    </row>
    <row r="51" spans="1:19" s="779" customFormat="1" ht="12.75" customHeight="1">
      <c r="A51" s="846">
        <f t="shared" si="0"/>
        <v>28</v>
      </c>
      <c r="B51" s="791"/>
      <c r="C51" s="359" t="s">
        <v>381</v>
      </c>
      <c r="D51" s="1963"/>
      <c r="E51" s="1963"/>
      <c r="F51" s="1380">
        <f>F36</f>
        <v>10948828.158622464</v>
      </c>
      <c r="G51" s="1381"/>
      <c r="H51" s="791"/>
      <c r="I51" s="1794"/>
      <c r="J51" s="791"/>
      <c r="K51" s="791"/>
      <c r="L51" s="791"/>
      <c r="M51" s="791"/>
      <c r="N51" s="791"/>
      <c r="Q51" s="791"/>
      <c r="R51" s="791"/>
      <c r="S51" s="791"/>
    </row>
    <row r="52" spans="1:19" s="779" customFormat="1">
      <c r="A52" s="846">
        <f t="shared" si="0"/>
        <v>29</v>
      </c>
      <c r="B52" s="791"/>
      <c r="C52" s="779" t="str">
        <f>"   Net Revenue Requirement, with "&amp;F12&amp;" Basis Point ROE increase"</f>
        <v xml:space="preserve">   Net Revenue Requirement, with 0 Basis Point ROE increase</v>
      </c>
      <c r="D52" s="846"/>
      <c r="E52" s="791"/>
      <c r="F52" s="1957">
        <f>SUM(F49:F51)</f>
        <v>167539603.41354838</v>
      </c>
      <c r="G52" s="1957"/>
      <c r="H52" s="791"/>
      <c r="I52" s="1794"/>
      <c r="J52" s="791"/>
      <c r="K52" s="791"/>
      <c r="L52" s="791"/>
      <c r="M52" s="791"/>
      <c r="N52" s="791"/>
      <c r="Q52" s="791"/>
      <c r="R52" s="791"/>
      <c r="S52" s="791"/>
    </row>
    <row r="53" spans="1:19" s="779" customFormat="1">
      <c r="A53" s="846">
        <f t="shared" si="0"/>
        <v>30</v>
      </c>
      <c r="B53" s="791"/>
      <c r="C53" s="1960" t="str">
        <f>"   Gross Margin Tax with "&amp;F86&amp;" Basis Point ROE Increase (II C. below)"</f>
        <v xml:space="preserve">   Gross Margin Tax with  Basis Point ROE Increase (II C. below)</v>
      </c>
      <c r="D53" s="844"/>
      <c r="E53" s="844"/>
      <c r="F53" s="1975">
        <f>+F68</f>
        <v>146218.39044816422</v>
      </c>
      <c r="G53" s="1974"/>
      <c r="H53" s="791"/>
      <c r="I53" s="1794"/>
      <c r="J53" s="791"/>
      <c r="K53" s="791"/>
      <c r="L53" s="791"/>
      <c r="M53" s="791"/>
      <c r="N53" s="791"/>
      <c r="Q53" s="791"/>
      <c r="R53" s="791"/>
      <c r="S53" s="791"/>
    </row>
    <row r="54" spans="1:19" s="779" customFormat="1">
      <c r="A54" s="846">
        <f t="shared" si="0"/>
        <v>31</v>
      </c>
      <c r="B54" s="791"/>
      <c r="C54" s="779" t="s">
        <v>24</v>
      </c>
      <c r="D54" s="846"/>
      <c r="E54" s="791"/>
      <c r="F54" s="1974">
        <f>+F52+F53</f>
        <v>167685821.80399653</v>
      </c>
      <c r="G54" s="1974"/>
      <c r="H54" s="791"/>
      <c r="I54" s="1794"/>
      <c r="J54" s="791"/>
      <c r="K54" s="791"/>
      <c r="L54" s="791"/>
      <c r="M54" s="791"/>
      <c r="N54" s="791"/>
      <c r="Q54" s="791"/>
      <c r="R54" s="791"/>
      <c r="S54" s="791"/>
    </row>
    <row r="55" spans="1:19" s="779" customFormat="1">
      <c r="A55" s="846">
        <f t="shared" si="0"/>
        <v>32</v>
      </c>
      <c r="B55" s="791"/>
      <c r="C55" s="359" t="str">
        <f>"   Less: Depreciation  (TCOS, ln "&amp;'SWEPCO TCOS'!B153&amp;")"</f>
        <v xml:space="preserve">   Less: Depreciation  (TCOS, ln 86)</v>
      </c>
      <c r="D55" s="846"/>
      <c r="E55" s="791"/>
      <c r="F55" s="1383">
        <f>+'SWEPCO TCOS'!L153</f>
        <v>39708119.730258666</v>
      </c>
      <c r="G55" s="1383"/>
      <c r="H55" s="791"/>
      <c r="I55" s="1794"/>
      <c r="J55" s="791"/>
      <c r="K55" s="791"/>
      <c r="L55" s="791"/>
      <c r="M55" s="791"/>
      <c r="N55" s="791"/>
      <c r="Q55" s="791"/>
      <c r="R55" s="791"/>
      <c r="S55" s="791"/>
    </row>
    <row r="56" spans="1:19" s="779" customFormat="1">
      <c r="A56" s="846">
        <f t="shared" si="0"/>
        <v>33</v>
      </c>
      <c r="B56" s="791"/>
      <c r="C56" s="779" t="str">
        <f>"   Net Rev. Req, w/"&amp;F12&amp;" Basis Point ROE increase, less Depreciation"</f>
        <v xml:space="preserve">   Net Rev. Req, w/0 Basis Point ROE increase, less Depreciation</v>
      </c>
      <c r="D56" s="846"/>
      <c r="E56" s="791"/>
      <c r="F56" s="1957">
        <f>F54-F55</f>
        <v>127977702.07373786</v>
      </c>
      <c r="G56" s="1957"/>
      <c r="H56" s="791"/>
      <c r="I56" s="1794"/>
      <c r="J56" s="791"/>
      <c r="K56" s="791"/>
      <c r="L56" s="791"/>
      <c r="M56" s="791"/>
      <c r="N56" s="791"/>
      <c r="Q56" s="791"/>
      <c r="R56" s="791"/>
      <c r="S56" s="791"/>
    </row>
    <row r="57" spans="1:19" s="779" customFormat="1">
      <c r="A57" s="846"/>
      <c r="B57" s="791"/>
      <c r="C57" s="791"/>
      <c r="D57" s="846"/>
      <c r="E57" s="791"/>
      <c r="F57" s="791"/>
      <c r="G57" s="791"/>
      <c r="H57" s="791"/>
      <c r="I57" s="1794"/>
      <c r="J57" s="791"/>
      <c r="K57" s="791"/>
      <c r="L57" s="791"/>
      <c r="M57" s="791"/>
      <c r="N57" s="791"/>
      <c r="Q57" s="791"/>
      <c r="R57" s="791"/>
      <c r="S57" s="791"/>
    </row>
    <row r="58" spans="1:19" s="779" customFormat="1" ht="15.75">
      <c r="A58" s="846"/>
      <c r="B58" s="791"/>
      <c r="C58" s="1281" t="str">
        <f>"C.   Determine Gross Margin Tax with hypothetical "&amp;F12&amp;" basis point increase in ROE."</f>
        <v>C.   Determine Gross Margin Tax with hypothetical 0 basis point increase in ROE.</v>
      </c>
      <c r="D58" s="844"/>
      <c r="E58" s="844"/>
      <c r="F58" s="1957"/>
      <c r="G58" s="1957"/>
      <c r="H58" s="791"/>
      <c r="I58" s="1794"/>
      <c r="J58" s="791"/>
      <c r="K58" s="791"/>
      <c r="L58" s="791"/>
      <c r="M58" s="791"/>
      <c r="N58" s="791"/>
      <c r="Q58" s="791"/>
      <c r="R58" s="791"/>
      <c r="S58" s="791"/>
    </row>
    <row r="59" spans="1:19" s="779" customFormat="1">
      <c r="A59" s="846">
        <f>+A56+1</f>
        <v>34</v>
      </c>
      <c r="B59" s="791"/>
      <c r="C59" s="1960" t="str">
        <f>"   Net Revenue Requirement before Gross Margin Taxes, with "&amp;F12&amp;" "</f>
        <v xml:space="preserve">   Net Revenue Requirement before Gross Margin Taxes, with 0 </v>
      </c>
      <c r="D59" s="844"/>
      <c r="E59" s="844"/>
      <c r="F59" s="1957">
        <f>+F52</f>
        <v>167539603.41354838</v>
      </c>
      <c r="G59" s="1957"/>
      <c r="H59" s="791"/>
      <c r="I59" s="1794"/>
      <c r="J59" s="791"/>
      <c r="K59" s="791"/>
      <c r="L59" s="791"/>
      <c r="M59" s="791"/>
      <c r="N59" s="791"/>
      <c r="Q59" s="791"/>
      <c r="R59" s="791"/>
      <c r="S59" s="791"/>
    </row>
    <row r="60" spans="1:19" s="779" customFormat="1">
      <c r="A60" s="846">
        <f t="shared" si="0"/>
        <v>35</v>
      </c>
      <c r="B60" s="791"/>
      <c r="C60" s="1960" t="s">
        <v>25</v>
      </c>
      <c r="D60" s="844"/>
      <c r="E60" s="844"/>
      <c r="F60" s="1957"/>
      <c r="G60" s="1957"/>
      <c r="H60" s="791"/>
      <c r="I60" s="1794"/>
      <c r="J60" s="791"/>
      <c r="K60" s="791"/>
      <c r="L60" s="791"/>
      <c r="M60" s="791"/>
      <c r="N60" s="791"/>
      <c r="Q60" s="791"/>
      <c r="R60" s="791"/>
      <c r="S60" s="791"/>
    </row>
    <row r="61" spans="1:19" s="779" customFormat="1">
      <c r="A61" s="846">
        <f t="shared" si="0"/>
        <v>36</v>
      </c>
      <c r="B61" s="791"/>
      <c r="C61" s="779" t="str">
        <f>"       Apportionment Factor to Texas (Worksheet K, ln "&amp;'SWEPCO WS K State Taxes'!A53&amp;")"</f>
        <v xml:space="preserve">       Apportionment Factor to Texas (Worksheet K, ln 12)</v>
      </c>
      <c r="D61" s="846"/>
      <c r="E61" s="791"/>
      <c r="F61" s="1976">
        <f>+'SWEPCO WS K State Taxes'!E53</f>
        <v>0.39634968110566327</v>
      </c>
      <c r="G61" s="1956"/>
      <c r="H61" s="791"/>
      <c r="I61" s="1794"/>
      <c r="J61" s="791"/>
      <c r="K61" s="791"/>
      <c r="L61" s="791"/>
      <c r="M61" s="791"/>
      <c r="N61" s="791"/>
      <c r="Q61" s="791"/>
      <c r="R61" s="791"/>
      <c r="S61" s="791"/>
    </row>
    <row r="62" spans="1:19" s="1794" customFormat="1">
      <c r="A62" s="846">
        <f t="shared" si="0"/>
        <v>37</v>
      </c>
      <c r="B62" s="791"/>
      <c r="C62" s="779" t="s">
        <v>26</v>
      </c>
      <c r="D62" s="846"/>
      <c r="E62" s="791"/>
      <c r="F62" s="1957">
        <f>+F61*F59</f>
        <v>66404268.38552919</v>
      </c>
      <c r="G62" s="1957"/>
      <c r="H62" s="791"/>
      <c r="J62" s="791"/>
      <c r="K62" s="791"/>
      <c r="L62" s="791"/>
      <c r="M62" s="791"/>
      <c r="N62" s="791"/>
      <c r="O62" s="779"/>
      <c r="P62" s="779"/>
      <c r="Q62" s="791"/>
      <c r="R62" s="791"/>
      <c r="S62" s="791"/>
    </row>
    <row r="63" spans="1:19" s="1794" customFormat="1">
      <c r="A63" s="846">
        <f t="shared" si="0"/>
        <v>38</v>
      </c>
      <c r="B63" s="791"/>
      <c r="C63" s="779" t="s">
        <v>1087</v>
      </c>
      <c r="D63" s="846"/>
      <c r="E63" s="791"/>
      <c r="F63" s="1977">
        <v>0.22</v>
      </c>
      <c r="G63" s="1978"/>
      <c r="H63" s="791"/>
      <c r="J63" s="791"/>
      <c r="K63" s="791"/>
      <c r="L63" s="791"/>
      <c r="M63" s="791"/>
      <c r="N63" s="791"/>
      <c r="O63" s="779"/>
      <c r="P63" s="779"/>
      <c r="Q63" s="791"/>
      <c r="R63" s="791"/>
      <c r="S63" s="791"/>
    </row>
    <row r="64" spans="1:19" s="1794" customFormat="1">
      <c r="A64" s="846">
        <f t="shared" si="0"/>
        <v>39</v>
      </c>
      <c r="B64" s="791"/>
      <c r="C64" s="779" t="s">
        <v>27</v>
      </c>
      <c r="D64" s="846"/>
      <c r="E64" s="791"/>
      <c r="F64" s="1957">
        <f>+F62*F63</f>
        <v>14608939.044816421</v>
      </c>
      <c r="G64" s="1957"/>
      <c r="H64" s="791"/>
      <c r="J64" s="791"/>
      <c r="K64" s="791"/>
      <c r="L64" s="791"/>
      <c r="M64" s="791"/>
      <c r="N64" s="791"/>
      <c r="O64" s="779"/>
      <c r="P64" s="779"/>
      <c r="Q64" s="791"/>
      <c r="R64" s="791"/>
      <c r="S64" s="791"/>
    </row>
    <row r="65" spans="1:19" s="1794" customFormat="1">
      <c r="A65" s="846">
        <f t="shared" si="0"/>
        <v>40</v>
      </c>
      <c r="B65" s="791"/>
      <c r="C65" s="779" t="s">
        <v>28</v>
      </c>
      <c r="D65" s="846"/>
      <c r="E65" s="791"/>
      <c r="F65" s="1977">
        <v>0.01</v>
      </c>
      <c r="G65" s="1978"/>
      <c r="H65" s="791"/>
      <c r="J65" s="791"/>
      <c r="K65" s="791"/>
      <c r="L65" s="791"/>
      <c r="M65" s="791"/>
      <c r="N65" s="791"/>
      <c r="O65" s="779"/>
      <c r="P65" s="779"/>
      <c r="Q65" s="791"/>
      <c r="R65" s="791"/>
      <c r="S65" s="791"/>
    </row>
    <row r="66" spans="1:19" s="1794" customFormat="1">
      <c r="A66" s="846">
        <f t="shared" si="0"/>
        <v>41</v>
      </c>
      <c r="B66" s="791"/>
      <c r="C66" s="779" t="s">
        <v>29</v>
      </c>
      <c r="D66" s="846"/>
      <c r="E66" s="791"/>
      <c r="F66" s="1957">
        <f>+F64*F65</f>
        <v>146089.39044816422</v>
      </c>
      <c r="G66" s="1957"/>
      <c r="H66" s="791"/>
      <c r="J66" s="791"/>
      <c r="K66" s="791"/>
      <c r="L66" s="791"/>
      <c r="M66" s="791"/>
      <c r="N66" s="791"/>
      <c r="O66" s="779"/>
      <c r="P66" s="779"/>
      <c r="Q66" s="791"/>
      <c r="R66" s="791"/>
      <c r="S66" s="791"/>
    </row>
    <row r="67" spans="1:19" s="1794" customFormat="1">
      <c r="A67" s="846">
        <f t="shared" si="0"/>
        <v>42</v>
      </c>
      <c r="B67" s="791"/>
      <c r="C67" s="779" t="s">
        <v>30</v>
      </c>
      <c r="D67" s="846"/>
      <c r="E67" s="791"/>
      <c r="F67" s="1979">
        <f>+ROUND((F66*F63*F61)/(1-F65)*F65,0)</f>
        <v>129</v>
      </c>
      <c r="G67" s="1867"/>
      <c r="H67" s="791"/>
      <c r="J67" s="791"/>
      <c r="K67" s="791"/>
      <c r="L67" s="791"/>
      <c r="M67" s="791"/>
      <c r="N67" s="791"/>
      <c r="O67" s="779"/>
      <c r="P67" s="779"/>
      <c r="Q67" s="791"/>
      <c r="R67" s="791"/>
      <c r="S67" s="791"/>
    </row>
    <row r="68" spans="1:19" s="1794" customFormat="1">
      <c r="A68" s="846">
        <f t="shared" si="0"/>
        <v>43</v>
      </c>
      <c r="B68" s="791"/>
      <c r="C68" s="779" t="s">
        <v>31</v>
      </c>
      <c r="D68" s="846"/>
      <c r="E68" s="791"/>
      <c r="F68" s="1957">
        <f>+F66+F67</f>
        <v>146218.39044816422</v>
      </c>
      <c r="G68" s="1957"/>
      <c r="H68" s="791"/>
      <c r="J68" s="791"/>
      <c r="K68" s="791"/>
      <c r="L68" s="791"/>
      <c r="M68" s="791"/>
      <c r="N68" s="791"/>
      <c r="O68" s="779"/>
      <c r="P68" s="779"/>
      <c r="Q68" s="791"/>
      <c r="R68" s="791"/>
      <c r="S68" s="791"/>
    </row>
    <row r="69" spans="1:19" s="1794" customFormat="1">
      <c r="A69" s="846"/>
      <c r="B69" s="791"/>
      <c r="C69" s="791"/>
      <c r="D69" s="846"/>
      <c r="E69" s="791"/>
      <c r="F69" s="791"/>
      <c r="G69" s="791"/>
      <c r="H69" s="791"/>
      <c r="J69" s="791"/>
      <c r="K69" s="791"/>
      <c r="L69" s="791"/>
      <c r="M69" s="791"/>
      <c r="N69" s="791"/>
      <c r="O69" s="779"/>
      <c r="P69" s="779"/>
      <c r="Q69" s="791"/>
      <c r="R69" s="791"/>
      <c r="S69" s="791"/>
    </row>
    <row r="70" spans="1:19" s="1794" customFormat="1" ht="15.75">
      <c r="A70" s="846"/>
      <c r="B70" s="791"/>
      <c r="C70" s="1281" t="str">
        <f>"D.   Determine FCR with hypothetical "&amp;F12&amp;" basis point ROE increase."</f>
        <v>D.   Determine FCR with hypothetical 0 basis point ROE increase.</v>
      </c>
      <c r="D70" s="846"/>
      <c r="E70" s="791"/>
      <c r="F70" s="791"/>
      <c r="G70" s="791"/>
      <c r="H70" s="791"/>
      <c r="J70" s="791"/>
      <c r="K70" s="791"/>
      <c r="L70" s="791"/>
      <c r="M70" s="791"/>
      <c r="N70" s="791"/>
      <c r="O70" s="779"/>
      <c r="P70" s="779"/>
      <c r="Q70" s="791"/>
      <c r="R70" s="791"/>
      <c r="S70" s="791"/>
    </row>
    <row r="71" spans="1:19" s="1794" customFormat="1">
      <c r="A71" s="846">
        <f>+A68+1</f>
        <v>44</v>
      </c>
      <c r="B71" s="791"/>
      <c r="C71" s="359" t="str">
        <f>"   Net Transmission Plant  (TCOS, ln "&amp;'SWEPCO TCOS'!B79&amp;")"</f>
        <v xml:space="preserve">   Net Transmission Plant  (TCOS, ln 37)</v>
      </c>
      <c r="D71" s="846"/>
      <c r="E71" s="791"/>
      <c r="F71" s="1957">
        <f>+'SWEPCO TCOS'!L79</f>
        <v>1211852140.3736484</v>
      </c>
      <c r="G71" s="1957"/>
      <c r="H71" s="791"/>
      <c r="J71" s="791"/>
      <c r="K71" s="791"/>
      <c r="L71" s="791"/>
      <c r="M71" s="791"/>
      <c r="N71" s="791"/>
      <c r="O71" s="779"/>
      <c r="P71" s="779"/>
      <c r="Q71" s="791"/>
      <c r="R71" s="791"/>
      <c r="S71" s="791"/>
    </row>
    <row r="72" spans="1:19" s="1794" customFormat="1" ht="15">
      <c r="A72" s="846">
        <f t="shared" si="0"/>
        <v>45</v>
      </c>
      <c r="B72" s="791"/>
      <c r="C72" s="779" t="str">
        <f>"   Net Revenue Requirement, with "&amp;F12&amp;" Basis Point ROE increase"</f>
        <v xml:space="preserve">   Net Revenue Requirement, with 0 Basis Point ROE increase</v>
      </c>
      <c r="D72" s="846"/>
      <c r="E72" s="791"/>
      <c r="F72" s="1388">
        <f>+F54</f>
        <v>167685821.80399653</v>
      </c>
      <c r="G72" s="1388"/>
      <c r="H72" s="791"/>
      <c r="J72" s="791"/>
      <c r="K72" s="791"/>
      <c r="L72" s="791"/>
      <c r="M72" s="791"/>
      <c r="N72" s="791"/>
      <c r="O72" s="779"/>
      <c r="P72" s="779"/>
      <c r="Q72" s="791"/>
      <c r="R72" s="791"/>
      <c r="S72" s="791"/>
    </row>
    <row r="73" spans="1:19" s="1794" customFormat="1">
      <c r="A73" s="846">
        <f t="shared" si="0"/>
        <v>46</v>
      </c>
      <c r="B73" s="791"/>
      <c r="C73" s="779" t="str">
        <f>"   FCR with "&amp;F12&amp;" Basis Point increase in ROE"</f>
        <v xml:space="preserve">   FCR with 0 Basis Point increase in ROE</v>
      </c>
      <c r="D73" s="846"/>
      <c r="E73" s="791"/>
      <c r="F73" s="881">
        <f>IF(F71=0,0,F72/F71)</f>
        <v>0.13837151927816393</v>
      </c>
      <c r="G73" s="881"/>
      <c r="H73" s="791"/>
      <c r="J73" s="791"/>
      <c r="K73" s="791"/>
      <c r="L73" s="791"/>
      <c r="M73" s="791"/>
      <c r="N73" s="791"/>
      <c r="O73" s="779"/>
      <c r="P73" s="779"/>
      <c r="Q73" s="791"/>
      <c r="R73" s="791"/>
      <c r="S73" s="791"/>
    </row>
    <row r="74" spans="1:19" s="1794" customFormat="1">
      <c r="A74" s="846"/>
      <c r="B74" s="791"/>
      <c r="C74" s="791"/>
      <c r="D74" s="846"/>
      <c r="E74" s="791"/>
      <c r="F74" s="791"/>
      <c r="G74" s="791"/>
      <c r="H74" s="881"/>
      <c r="J74" s="791"/>
      <c r="K74" s="791"/>
      <c r="L74" s="791"/>
      <c r="M74" s="791"/>
      <c r="N74" s="791"/>
      <c r="O74" s="779"/>
      <c r="P74" s="779"/>
      <c r="Q74" s="791"/>
      <c r="R74" s="791"/>
      <c r="S74" s="791"/>
    </row>
    <row r="75" spans="1:19" s="1794" customFormat="1">
      <c r="A75" s="846">
        <f>+A73+1</f>
        <v>47</v>
      </c>
      <c r="B75" s="791"/>
      <c r="C75" s="779" t="str">
        <f>"   Net Rev. Req, w / "&amp;F12&amp;" Basis Point ROE increase, less Dep."</f>
        <v xml:space="preserve">   Net Rev. Req, w / 0 Basis Point ROE increase, less Dep.</v>
      </c>
      <c r="D75" s="846"/>
      <c r="E75" s="791"/>
      <c r="F75" s="1957">
        <f>+F56</f>
        <v>127977702.07373786</v>
      </c>
      <c r="G75" s="1957"/>
      <c r="H75" s="791"/>
      <c r="J75" s="791"/>
      <c r="K75" s="791"/>
      <c r="L75" s="791"/>
      <c r="M75" s="791"/>
      <c r="N75" s="791"/>
      <c r="O75" s="779"/>
      <c r="P75" s="779"/>
      <c r="Q75" s="791"/>
      <c r="R75" s="791"/>
      <c r="S75" s="791"/>
    </row>
    <row r="76" spans="1:19" s="1794" customFormat="1">
      <c r="A76" s="846">
        <f t="shared" ref="A76:A85" si="1">+A75+1</f>
        <v>48</v>
      </c>
      <c r="B76" s="791"/>
      <c r="C76" s="779" t="str">
        <f>"   FCR with "&amp;F12&amp;" Basis Point ROE increase, less Depreciation"</f>
        <v xml:space="preserve">   FCR with 0 Basis Point ROE increase, less Depreciation</v>
      </c>
      <c r="D76" s="846"/>
      <c r="E76" s="791"/>
      <c r="F76" s="881">
        <f>IF(F71=0,0,F75/F71)</f>
        <v>0.10560504686180502</v>
      </c>
      <c r="G76" s="881"/>
      <c r="H76" s="1957"/>
      <c r="J76" s="791"/>
      <c r="K76" s="791"/>
      <c r="L76" s="791"/>
      <c r="M76" s="791"/>
      <c r="N76" s="791"/>
      <c r="O76" s="779"/>
      <c r="P76" s="779"/>
      <c r="Q76" s="791"/>
      <c r="R76" s="791"/>
      <c r="S76" s="791"/>
    </row>
    <row r="77" spans="1:19">
      <c r="A77" s="846">
        <f t="shared" si="1"/>
        <v>49</v>
      </c>
      <c r="C77" s="359" t="str">
        <f>"   FCR less Depreciation  (TCOS, ln "&amp;'SWEPCO TCOS'!B30&amp;")"</f>
        <v xml:space="preserve">   FCR less Depreciation  (TCOS, ln 10)</v>
      </c>
      <c r="F77" s="1389">
        <f>+'SWEPCO TCOS'!L30</f>
        <v>0.10554029605486887</v>
      </c>
      <c r="G77" s="1389"/>
      <c r="H77" s="1980"/>
    </row>
    <row r="78" spans="1:19">
      <c r="A78" s="846">
        <f t="shared" si="1"/>
        <v>50</v>
      </c>
      <c r="C78" s="779" t="str">
        <f>"   Incremental FCR with "&amp;F12&amp;" Basis Point ROE increase, less Depreciation"</f>
        <v xml:space="preserve">   Incremental FCR with 0 Basis Point ROE increase, less Depreciation</v>
      </c>
      <c r="F78" s="881">
        <f>F76-F77</f>
        <v>6.4750806936159089E-5</v>
      </c>
      <c r="G78" s="881"/>
    </row>
    <row r="79" spans="1:19">
      <c r="A79" s="846"/>
      <c r="C79" s="779"/>
      <c r="F79" s="881"/>
      <c r="G79" s="881"/>
    </row>
    <row r="80" spans="1:19" ht="18.75">
      <c r="A80" s="846"/>
      <c r="B80" s="1279" t="s">
        <v>314</v>
      </c>
      <c r="C80" s="1277" t="s">
        <v>382</v>
      </c>
      <c r="F80" s="881"/>
      <c r="G80" s="881"/>
    </row>
    <row r="81" spans="1:16">
      <c r="A81" s="846">
        <f>+A78+1</f>
        <v>51</v>
      </c>
      <c r="C81" s="779" t="str">
        <f>"Transmission Plant Average Balance for "&amp;'SWEPCO TCOS'!$N$2&amp;" (WS A-1 Ln "&amp;'SWEPCO WS A-1 - Plant'!A24&amp;" Col "&amp;'SWEPCO WS A-1 - Plant'!E9&amp;")"</f>
        <v>Transmission Plant Average Balance for 2018 (WS A-1 Ln 14 Col (d))</v>
      </c>
      <c r="F81" s="1814">
        <f>+'SWEPCO WS A-1 - Plant'!E24</f>
        <v>1774860127.5</v>
      </c>
      <c r="G81" s="1814"/>
    </row>
    <row r="82" spans="1:16">
      <c r="A82" s="846">
        <f t="shared" si="1"/>
        <v>52</v>
      </c>
      <c r="C82" s="359" t="str">
        <f>"Annual Depreciation Expense  (TCOS, ln "&amp;'SWEPCO TCOS'!B153&amp;")"</f>
        <v>Annual Depreciation Expense  (TCOS, ln 86)</v>
      </c>
      <c r="F82" s="1814">
        <f>+'SWEPCO TCOS'!G153</f>
        <v>41812686</v>
      </c>
      <c r="G82" s="1814"/>
    </row>
    <row r="83" spans="1:16">
      <c r="A83" s="846">
        <f t="shared" si="1"/>
        <v>53</v>
      </c>
      <c r="C83" s="779" t="s">
        <v>383</v>
      </c>
      <c r="F83" s="881">
        <f>IF(F81=0,0,F82/F81)</f>
        <v>2.3558299244062542E-2</v>
      </c>
      <c r="G83" s="881"/>
      <c r="I83" s="1793"/>
    </row>
    <row r="84" spans="1:16">
      <c r="A84" s="846">
        <f t="shared" si="1"/>
        <v>54</v>
      </c>
      <c r="C84" s="779" t="s">
        <v>384</v>
      </c>
      <c r="F84" s="1981">
        <f>IF(F83=0,0,1/F83)</f>
        <v>42.44788597173595</v>
      </c>
      <c r="G84" s="1981"/>
    </row>
    <row r="85" spans="1:16">
      <c r="A85" s="846">
        <f t="shared" si="1"/>
        <v>55</v>
      </c>
      <c r="C85" s="779" t="s">
        <v>385</v>
      </c>
      <c r="F85" s="1810">
        <f>ROUND(F84,0)</f>
        <v>42</v>
      </c>
      <c r="G85" s="1810"/>
    </row>
    <row r="86" spans="1:16">
      <c r="C86" s="779"/>
      <c r="F86" s="1810"/>
      <c r="G86" s="1810"/>
    </row>
    <row r="87" spans="1:16">
      <c r="C87" s="779"/>
      <c r="F87" s="1810"/>
      <c r="G87" s="1810"/>
    </row>
    <row r="88" spans="1:16" ht="20.25">
      <c r="A88" s="1392" t="str">
        <f>"'Worksheet F --  "&amp;'SWEPCO TCOS'!F8&amp;" --  Calculation of Projected ARR for SPP Base Plan Upgrade Projects"</f>
        <v>'Worksheet F --  SOUTHWESTERN ELECTRIC POWER COMPANY --  Calculation of Projected ARR for SPP Base Plan Upgrade Projects</v>
      </c>
      <c r="B88" s="916"/>
      <c r="C88" s="779"/>
      <c r="D88" s="1982"/>
      <c r="E88" s="916"/>
      <c r="F88" s="1983"/>
      <c r="G88" s="916"/>
      <c r="H88" s="1984"/>
      <c r="I88" s="916"/>
      <c r="J88" s="1699"/>
      <c r="K88" s="1397"/>
      <c r="L88" s="1397"/>
      <c r="M88" s="1397"/>
      <c r="N88" s="1398"/>
      <c r="O88" s="916"/>
    </row>
    <row r="89" spans="1:16" ht="18">
      <c r="A89" s="916"/>
      <c r="B89" s="916"/>
      <c r="C89" s="916"/>
      <c r="D89" s="1982"/>
      <c r="E89" s="916"/>
      <c r="F89" s="916"/>
      <c r="G89" s="916"/>
      <c r="H89" s="1984"/>
      <c r="I89" s="916"/>
      <c r="J89" s="1699"/>
      <c r="K89" s="916"/>
      <c r="L89" s="916"/>
      <c r="M89" s="916"/>
      <c r="N89" s="1399"/>
      <c r="O89" s="916"/>
    </row>
    <row r="90" spans="1:16" ht="18.75">
      <c r="A90" s="916"/>
      <c r="B90" s="1279" t="s">
        <v>315</v>
      </c>
      <c r="C90" s="1277" t="s">
        <v>447</v>
      </c>
      <c r="D90" s="1982"/>
      <c r="E90" s="916"/>
      <c r="F90" s="916"/>
      <c r="G90" s="916"/>
      <c r="H90" s="1984"/>
      <c r="I90" s="1984"/>
      <c r="J90" s="1985"/>
      <c r="K90" s="1984"/>
      <c r="L90" s="1984"/>
      <c r="M90" s="1984"/>
      <c r="N90" s="1984"/>
      <c r="O90" s="916"/>
      <c r="P90" s="1401"/>
    </row>
    <row r="91" spans="1:16" ht="15.75" thickBot="1">
      <c r="A91" s="916"/>
      <c r="B91" s="916"/>
      <c r="C91" s="835"/>
      <c r="D91" s="1982"/>
      <c r="E91" s="916"/>
      <c r="F91" s="916"/>
      <c r="G91" s="916"/>
      <c r="H91" s="1984"/>
      <c r="I91" s="1984"/>
      <c r="J91" s="1985"/>
      <c r="K91" s="1984"/>
      <c r="L91" s="1984"/>
      <c r="M91" s="1984"/>
      <c r="N91" s="1984"/>
      <c r="O91" s="916"/>
      <c r="P91" s="916"/>
    </row>
    <row r="92" spans="1:16" ht="15">
      <c r="A92" s="916"/>
      <c r="B92" s="916"/>
      <c r="C92" s="1402" t="s">
        <v>448</v>
      </c>
      <c r="D92" s="1982"/>
      <c r="E92" s="916"/>
      <c r="F92" s="916"/>
      <c r="G92" s="1986"/>
      <c r="H92" s="1404"/>
      <c r="I92" s="916"/>
      <c r="J92" s="1699"/>
      <c r="K92" s="1405" t="s">
        <v>482</v>
      </c>
      <c r="L92" s="1406"/>
      <c r="M92" s="1987"/>
      <c r="N92" s="1988"/>
      <c r="O92" s="916"/>
      <c r="P92" s="916"/>
    </row>
    <row r="93" spans="1:16" ht="15.75">
      <c r="A93" s="916"/>
      <c r="B93" s="916"/>
      <c r="C93" s="1409"/>
      <c r="D93" s="1982"/>
      <c r="E93" s="916"/>
      <c r="F93" s="916"/>
      <c r="G93" s="916"/>
      <c r="H93" s="1989"/>
      <c r="I93" s="1989"/>
      <c r="J93" s="1990"/>
      <c r="K93" s="1412" t="s">
        <v>483</v>
      </c>
      <c r="L93" s="1991"/>
      <c r="M93" s="1699"/>
      <c r="N93" s="1992"/>
      <c r="O93" s="916"/>
      <c r="P93" s="916"/>
    </row>
    <row r="94" spans="1:16" ht="13.5" thickBot="1">
      <c r="A94" s="916"/>
      <c r="B94" s="916"/>
      <c r="C94" s="1077" t="s">
        <v>449</v>
      </c>
      <c r="D94" s="1415"/>
      <c r="E94" s="1415"/>
      <c r="F94" s="1415"/>
      <c r="G94" s="916"/>
      <c r="H94" s="1984"/>
      <c r="I94" s="1984"/>
      <c r="J94" s="1985"/>
      <c r="K94" s="1993" t="s">
        <v>450</v>
      </c>
      <c r="L94" s="1994"/>
      <c r="M94" s="1994"/>
      <c r="N94" s="1995">
        <f>+N93-N92</f>
        <v>0</v>
      </c>
      <c r="O94" s="916"/>
      <c r="P94" s="916"/>
    </row>
    <row r="95" spans="1:16" ht="13.5" thickBot="1">
      <c r="A95" s="916"/>
      <c r="B95" s="916"/>
      <c r="C95" s="1419"/>
      <c r="D95" s="844"/>
      <c r="E95" s="856"/>
      <c r="F95" s="856"/>
      <c r="G95" s="856"/>
      <c r="H95" s="856"/>
      <c r="I95" s="856"/>
      <c r="J95" s="1926"/>
      <c r="K95" s="856"/>
      <c r="L95" s="856"/>
      <c r="M95" s="856"/>
      <c r="N95" s="856"/>
      <c r="O95" s="1926"/>
    </row>
    <row r="96" spans="1:16" ht="13.5" thickBot="1">
      <c r="A96" s="916"/>
      <c r="B96" s="916"/>
      <c r="C96" s="1420" t="s">
        <v>451</v>
      </c>
      <c r="D96" s="1421"/>
      <c r="E96" s="1996" t="s">
        <v>898</v>
      </c>
      <c r="F96" s="1423"/>
      <c r="G96" s="1423"/>
      <c r="H96" s="1423"/>
      <c r="I96" s="1424"/>
      <c r="J96" s="1425"/>
      <c r="K96" s="916"/>
      <c r="L96" s="916"/>
      <c r="M96" s="916"/>
      <c r="N96" s="916"/>
      <c r="O96" s="1997"/>
      <c r="P96" s="1699"/>
    </row>
    <row r="97" spans="1:16">
      <c r="A97" s="916"/>
      <c r="B97" s="916"/>
      <c r="C97" s="1998" t="s">
        <v>452</v>
      </c>
      <c r="D97" s="1999"/>
      <c r="E97" s="1960" t="s">
        <v>51</v>
      </c>
      <c r="F97" s="1997"/>
      <c r="G97" s="2000"/>
      <c r="H97" s="2000"/>
      <c r="I97" s="1430">
        <f>+K19</f>
        <v>2018</v>
      </c>
      <c r="J97" s="1425"/>
      <c r="K97" s="1985" t="s">
        <v>453</v>
      </c>
      <c r="L97" s="916"/>
      <c r="M97" s="916"/>
      <c r="N97" s="916"/>
      <c r="O97" s="1699"/>
      <c r="P97" s="1699"/>
    </row>
    <row r="98" spans="1:16">
      <c r="A98" s="916"/>
      <c r="B98" s="916"/>
      <c r="C98" s="1933" t="s">
        <v>454</v>
      </c>
      <c r="D98" s="2001"/>
      <c r="E98" s="1933" t="s">
        <v>455</v>
      </c>
      <c r="F98" s="2000"/>
      <c r="G98" s="1699"/>
      <c r="H98" s="1699"/>
      <c r="I98" s="2002">
        <f>+F12</f>
        <v>0</v>
      </c>
      <c r="J98" s="2003"/>
      <c r="K98" s="916" t="str">
        <f>"          INPUT PROJECTED ARR (WITH &amp; WITHOUT INCENTIVES) FROM EACH PRIOR YEAR"</f>
        <v xml:space="preserve">          INPUT PROJECTED ARR (WITH &amp; WITHOUT INCENTIVES) FROM EACH PRIOR YEAR</v>
      </c>
      <c r="L98" s="916"/>
      <c r="M98" s="916"/>
      <c r="N98" s="916"/>
      <c r="O98" s="1699"/>
      <c r="P98" s="1699"/>
    </row>
    <row r="99" spans="1:16">
      <c r="A99" s="916"/>
      <c r="B99" s="916"/>
      <c r="C99" s="1933" t="s">
        <v>456</v>
      </c>
      <c r="D99" s="1999">
        <v>0</v>
      </c>
      <c r="E99" s="1933" t="s">
        <v>457</v>
      </c>
      <c r="F99" s="2000"/>
      <c r="G99" s="1699"/>
      <c r="H99" s="1699"/>
      <c r="I99" s="2004">
        <f>+F77</f>
        <v>0.10554029605486887</v>
      </c>
      <c r="J99" s="1956"/>
      <c r="K99" s="916" t="s">
        <v>458</v>
      </c>
      <c r="L99" s="916"/>
      <c r="M99" s="916"/>
      <c r="N99" s="916"/>
      <c r="O99" s="1699"/>
      <c r="P99" s="1699"/>
    </row>
    <row r="100" spans="1:16">
      <c r="A100" s="916"/>
      <c r="B100" s="916"/>
      <c r="C100" s="1933" t="s">
        <v>459</v>
      </c>
      <c r="D100" s="1999">
        <v>0</v>
      </c>
      <c r="E100" s="1933" t="s">
        <v>460</v>
      </c>
      <c r="F100" s="2000"/>
      <c r="G100" s="1699"/>
      <c r="H100" s="1699"/>
      <c r="I100" s="2004">
        <f>IF(G92="",I99,F76)</f>
        <v>0.10554029605486887</v>
      </c>
      <c r="J100" s="1956"/>
      <c r="K100" s="1985" t="s">
        <v>461</v>
      </c>
      <c r="L100" s="2005"/>
      <c r="M100" s="2005"/>
      <c r="N100" s="2005"/>
      <c r="O100" s="1699"/>
      <c r="P100" s="1699"/>
    </row>
    <row r="101" spans="1:16" ht="13.5" thickBot="1">
      <c r="A101" s="916"/>
      <c r="B101" s="916"/>
      <c r="C101" s="1933" t="s">
        <v>462</v>
      </c>
      <c r="D101" s="2001"/>
      <c r="E101" s="1699" t="s">
        <v>463</v>
      </c>
      <c r="F101" s="2000"/>
      <c r="G101" s="1699"/>
      <c r="H101" s="1699"/>
      <c r="I101" s="2006">
        <f>IF(D97=0,0,D97/D100)</f>
        <v>0</v>
      </c>
      <c r="J101" s="1985"/>
      <c r="K101" s="1985"/>
      <c r="L101" s="1985"/>
      <c r="M101" s="1985"/>
      <c r="N101" s="1985"/>
      <c r="O101" s="1699"/>
      <c r="P101" s="1699"/>
    </row>
    <row r="102" spans="1:16" ht="66" customHeight="1">
      <c r="A102" s="916"/>
      <c r="B102" s="916"/>
      <c r="C102" s="1437" t="s">
        <v>386</v>
      </c>
      <c r="D102" s="2007" t="s">
        <v>464</v>
      </c>
      <c r="E102" s="2007" t="s">
        <v>465</v>
      </c>
      <c r="F102" s="2007" t="s">
        <v>466</v>
      </c>
      <c r="G102" s="2008" t="s">
        <v>467</v>
      </c>
      <c r="H102" s="2009" t="s">
        <v>468</v>
      </c>
      <c r="I102" s="1437" t="s">
        <v>469</v>
      </c>
      <c r="J102" s="1441"/>
      <c r="K102" s="2010" t="s">
        <v>470</v>
      </c>
      <c r="L102" s="2011" t="s">
        <v>471</v>
      </c>
      <c r="M102" s="2010" t="s">
        <v>470</v>
      </c>
      <c r="N102" s="2011" t="s">
        <v>471</v>
      </c>
      <c r="O102" s="2012" t="s">
        <v>472</v>
      </c>
      <c r="P102" s="1699"/>
    </row>
    <row r="103" spans="1:16" ht="15" customHeight="1" thickBot="1">
      <c r="A103" s="916"/>
      <c r="B103" s="916"/>
      <c r="C103" s="1445" t="s">
        <v>473</v>
      </c>
      <c r="D103" s="1446" t="s">
        <v>318</v>
      </c>
      <c r="E103" s="1446" t="s">
        <v>217</v>
      </c>
      <c r="F103" s="1446" t="s">
        <v>318</v>
      </c>
      <c r="G103" s="2013" t="s">
        <v>474</v>
      </c>
      <c r="H103" s="2014" t="s">
        <v>475</v>
      </c>
      <c r="I103" s="1449" t="s">
        <v>891</v>
      </c>
      <c r="J103" s="1450" t="s">
        <v>476</v>
      </c>
      <c r="K103" s="2015" t="s">
        <v>477</v>
      </c>
      <c r="L103" s="2016" t="s">
        <v>477</v>
      </c>
      <c r="M103" s="2015" t="s">
        <v>892</v>
      </c>
      <c r="N103" s="2017" t="s">
        <v>892</v>
      </c>
      <c r="O103" s="2015" t="s">
        <v>892</v>
      </c>
      <c r="P103" s="1699"/>
    </row>
    <row r="104" spans="1:16">
      <c r="A104" s="916"/>
      <c r="B104" s="1982"/>
      <c r="C104" s="2018" t="str">
        <f>IF(D98= "","-",D98)</f>
        <v>-</v>
      </c>
      <c r="D104" s="2019">
        <f>D97</f>
        <v>0</v>
      </c>
      <c r="E104" s="2020">
        <f>I101/12*(12-D99)</f>
        <v>0</v>
      </c>
      <c r="F104" s="2019">
        <f t="shared" ref="F104:F159" si="2">+D104-E104</f>
        <v>0</v>
      </c>
      <c r="G104" s="2020">
        <f>+I99*F104+E104</f>
        <v>0</v>
      </c>
      <c r="H104" s="2006">
        <f>+I100*F104+E104</f>
        <v>0</v>
      </c>
      <c r="I104" s="2021">
        <f t="shared" ref="I104:I159" si="3">H104-G104</f>
        <v>0</v>
      </c>
      <c r="J104" s="2021"/>
      <c r="K104" s="2022"/>
      <c r="L104" s="2023">
        <f t="shared" ref="L104:L159" si="4">IF(K104&lt;&gt;0,+G104-K104,0)</f>
        <v>0</v>
      </c>
      <c r="M104" s="2022"/>
      <c r="N104" s="2023">
        <f t="shared" ref="N104:N159" si="5">IF(M104&lt;&gt;0,+H104-M104,0)</f>
        <v>0</v>
      </c>
      <c r="O104" s="2024">
        <f t="shared" ref="O104:O159" si="6">+N104-L104</f>
        <v>0</v>
      </c>
      <c r="P104" s="1699"/>
    </row>
    <row r="105" spans="1:16">
      <c r="A105" s="916"/>
      <c r="B105" s="1982" t="str">
        <f>IF(D105=F104,"","IU")</f>
        <v/>
      </c>
      <c r="C105" s="2018" t="str">
        <f>IF(D98="","-",+C104+1)</f>
        <v>-</v>
      </c>
      <c r="D105" s="2025">
        <f t="shared" ref="D105:D159" si="7">F104</f>
        <v>0</v>
      </c>
      <c r="E105" s="2026">
        <f>IF(+I101&lt;F104,I101,D105)</f>
        <v>0</v>
      </c>
      <c r="F105" s="2025">
        <f t="shared" si="2"/>
        <v>0</v>
      </c>
      <c r="G105" s="2026">
        <f>+I$11*F105+E105</f>
        <v>0</v>
      </c>
      <c r="H105" s="2006">
        <f>+I$12*F105+E105</f>
        <v>0</v>
      </c>
      <c r="I105" s="2021">
        <f t="shared" si="3"/>
        <v>0</v>
      </c>
      <c r="J105" s="2021"/>
      <c r="K105" s="2027"/>
      <c r="L105" s="2024">
        <f t="shared" si="4"/>
        <v>0</v>
      </c>
      <c r="M105" s="2027"/>
      <c r="N105" s="2024">
        <f t="shared" si="5"/>
        <v>0</v>
      </c>
      <c r="O105" s="2024">
        <f t="shared" si="6"/>
        <v>0</v>
      </c>
      <c r="P105" s="1699"/>
    </row>
    <row r="106" spans="1:16">
      <c r="A106" s="916"/>
      <c r="B106" s="1982" t="str">
        <f>IF(D106=F105,"","IU")</f>
        <v/>
      </c>
      <c r="C106" s="2018" t="str">
        <f>IF(D98="","-",+C105+1)</f>
        <v>-</v>
      </c>
      <c r="D106" s="2025">
        <f t="shared" si="7"/>
        <v>0</v>
      </c>
      <c r="E106" s="2026">
        <f>IF(+I101&lt;F105,I101,D106)</f>
        <v>0</v>
      </c>
      <c r="F106" s="2025">
        <f t="shared" si="2"/>
        <v>0</v>
      </c>
      <c r="G106" s="2026">
        <f t="shared" ref="G106:G159" si="8">+I$11*F106+E106</f>
        <v>0</v>
      </c>
      <c r="H106" s="2006">
        <f t="shared" ref="H106:H159" si="9">+I$12*F106+E106</f>
        <v>0</v>
      </c>
      <c r="I106" s="2021">
        <f t="shared" si="3"/>
        <v>0</v>
      </c>
      <c r="J106" s="2021"/>
      <c r="K106" s="2027"/>
      <c r="L106" s="2024">
        <f t="shared" si="4"/>
        <v>0</v>
      </c>
      <c r="M106" s="2027"/>
      <c r="N106" s="2024">
        <f t="shared" si="5"/>
        <v>0</v>
      </c>
      <c r="O106" s="2024">
        <f t="shared" si="6"/>
        <v>0</v>
      </c>
      <c r="P106" s="1699"/>
    </row>
    <row r="107" spans="1:16">
      <c r="A107" s="916"/>
      <c r="B107" s="1982" t="str">
        <f t="shared" ref="B107:B159" si="10">IF(D107=F106,"","IU")</f>
        <v/>
      </c>
      <c r="C107" s="2018" t="str">
        <f>IF(D98="","-",+C106+1)</f>
        <v>-</v>
      </c>
      <c r="D107" s="2025">
        <f t="shared" si="7"/>
        <v>0</v>
      </c>
      <c r="E107" s="2026">
        <f>IF(+I101&lt;F106,I101,D107)</f>
        <v>0</v>
      </c>
      <c r="F107" s="2025">
        <f t="shared" si="2"/>
        <v>0</v>
      </c>
      <c r="G107" s="2026">
        <f t="shared" si="8"/>
        <v>0</v>
      </c>
      <c r="H107" s="2006">
        <f t="shared" si="9"/>
        <v>0</v>
      </c>
      <c r="I107" s="2021">
        <f t="shared" si="3"/>
        <v>0</v>
      </c>
      <c r="J107" s="2021"/>
      <c r="K107" s="2027"/>
      <c r="L107" s="2024">
        <f t="shared" si="4"/>
        <v>0</v>
      </c>
      <c r="M107" s="2027"/>
      <c r="N107" s="2024">
        <f t="shared" si="5"/>
        <v>0</v>
      </c>
      <c r="O107" s="2024">
        <f t="shared" si="6"/>
        <v>0</v>
      </c>
      <c r="P107" s="1699"/>
    </row>
    <row r="108" spans="1:16">
      <c r="A108" s="916"/>
      <c r="B108" s="1982" t="str">
        <f t="shared" si="10"/>
        <v/>
      </c>
      <c r="C108" s="2018" t="str">
        <f>IF(D98="","-",+C107+1)</f>
        <v>-</v>
      </c>
      <c r="D108" s="2025">
        <f t="shared" si="7"/>
        <v>0</v>
      </c>
      <c r="E108" s="2026">
        <f>IF(+I101&lt;F107,I101,D108)</f>
        <v>0</v>
      </c>
      <c r="F108" s="2025">
        <f t="shared" si="2"/>
        <v>0</v>
      </c>
      <c r="G108" s="2026">
        <f t="shared" si="8"/>
        <v>0</v>
      </c>
      <c r="H108" s="2006">
        <f t="shared" si="9"/>
        <v>0</v>
      </c>
      <c r="I108" s="2021">
        <f t="shared" si="3"/>
        <v>0</v>
      </c>
      <c r="J108" s="2021"/>
      <c r="K108" s="2027"/>
      <c r="L108" s="2024">
        <f t="shared" si="4"/>
        <v>0</v>
      </c>
      <c r="M108" s="2027"/>
      <c r="N108" s="2024">
        <f t="shared" si="5"/>
        <v>0</v>
      </c>
      <c r="O108" s="2024">
        <f t="shared" si="6"/>
        <v>0</v>
      </c>
      <c r="P108" s="1699"/>
    </row>
    <row r="109" spans="1:16">
      <c r="A109" s="916"/>
      <c r="B109" s="1982" t="str">
        <f t="shared" si="10"/>
        <v/>
      </c>
      <c r="C109" s="2018" t="str">
        <f>IF(D98="","-",+C108+1)</f>
        <v>-</v>
      </c>
      <c r="D109" s="2025">
        <f t="shared" si="7"/>
        <v>0</v>
      </c>
      <c r="E109" s="2026">
        <f>IF(+I101&lt;F108,I101,D109)</f>
        <v>0</v>
      </c>
      <c r="F109" s="2025">
        <f t="shared" si="2"/>
        <v>0</v>
      </c>
      <c r="G109" s="2026">
        <f t="shared" si="8"/>
        <v>0</v>
      </c>
      <c r="H109" s="2006">
        <f t="shared" si="9"/>
        <v>0</v>
      </c>
      <c r="I109" s="2021">
        <f t="shared" si="3"/>
        <v>0</v>
      </c>
      <c r="J109" s="2021"/>
      <c r="K109" s="2027"/>
      <c r="L109" s="2024">
        <f t="shared" si="4"/>
        <v>0</v>
      </c>
      <c r="M109" s="2027"/>
      <c r="N109" s="2024">
        <f t="shared" si="5"/>
        <v>0</v>
      </c>
      <c r="O109" s="2024">
        <f t="shared" si="6"/>
        <v>0</v>
      </c>
      <c r="P109" s="1699"/>
    </row>
    <row r="110" spans="1:16">
      <c r="A110" s="916"/>
      <c r="B110" s="1982" t="str">
        <f t="shared" si="10"/>
        <v/>
      </c>
      <c r="C110" s="2018" t="str">
        <f>IF(D98="","-",+C109+1)</f>
        <v>-</v>
      </c>
      <c r="D110" s="2025">
        <f t="shared" si="7"/>
        <v>0</v>
      </c>
      <c r="E110" s="2026">
        <f>IF(+I101&lt;F109,I101,D110)</f>
        <v>0</v>
      </c>
      <c r="F110" s="2025">
        <f t="shared" si="2"/>
        <v>0</v>
      </c>
      <c r="G110" s="2026">
        <f t="shared" si="8"/>
        <v>0</v>
      </c>
      <c r="H110" s="2006">
        <f t="shared" si="9"/>
        <v>0</v>
      </c>
      <c r="I110" s="2021">
        <f t="shared" si="3"/>
        <v>0</v>
      </c>
      <c r="J110" s="2021"/>
      <c r="K110" s="2027"/>
      <c r="L110" s="2024">
        <f t="shared" si="4"/>
        <v>0</v>
      </c>
      <c r="M110" s="2027"/>
      <c r="N110" s="2024">
        <f t="shared" si="5"/>
        <v>0</v>
      </c>
      <c r="O110" s="2024">
        <f t="shared" si="6"/>
        <v>0</v>
      </c>
      <c r="P110" s="1699"/>
    </row>
    <row r="111" spans="1:16">
      <c r="A111" s="916"/>
      <c r="B111" s="1982" t="str">
        <f t="shared" si="10"/>
        <v/>
      </c>
      <c r="C111" s="2018" t="str">
        <f>IF(D98="","-",+C110+1)</f>
        <v>-</v>
      </c>
      <c r="D111" s="2025">
        <f t="shared" si="7"/>
        <v>0</v>
      </c>
      <c r="E111" s="2026">
        <f>IF(+I101&lt;F110,I101,D111)</f>
        <v>0</v>
      </c>
      <c r="F111" s="2025">
        <f t="shared" si="2"/>
        <v>0</v>
      </c>
      <c r="G111" s="2026">
        <f t="shared" si="8"/>
        <v>0</v>
      </c>
      <c r="H111" s="2006">
        <f t="shared" si="9"/>
        <v>0</v>
      </c>
      <c r="I111" s="2021">
        <f t="shared" si="3"/>
        <v>0</v>
      </c>
      <c r="J111" s="2021"/>
      <c r="K111" s="2027"/>
      <c r="L111" s="2024">
        <f t="shared" si="4"/>
        <v>0</v>
      </c>
      <c r="M111" s="2027"/>
      <c r="N111" s="2024">
        <f t="shared" si="5"/>
        <v>0</v>
      </c>
      <c r="O111" s="2024">
        <f t="shared" si="6"/>
        <v>0</v>
      </c>
      <c r="P111" s="1699"/>
    </row>
    <row r="112" spans="1:16">
      <c r="A112" s="916"/>
      <c r="B112" s="1982" t="str">
        <f t="shared" si="10"/>
        <v/>
      </c>
      <c r="C112" s="2018" t="str">
        <f>IF(D98="","-",+C111+1)</f>
        <v>-</v>
      </c>
      <c r="D112" s="2025">
        <f t="shared" si="7"/>
        <v>0</v>
      </c>
      <c r="E112" s="2026">
        <f>IF(+I101&lt;F111,I101,D112)</f>
        <v>0</v>
      </c>
      <c r="F112" s="2025">
        <f t="shared" si="2"/>
        <v>0</v>
      </c>
      <c r="G112" s="2026">
        <f t="shared" si="8"/>
        <v>0</v>
      </c>
      <c r="H112" s="2006">
        <f t="shared" si="9"/>
        <v>0</v>
      </c>
      <c r="I112" s="2021">
        <f t="shared" si="3"/>
        <v>0</v>
      </c>
      <c r="J112" s="2021"/>
      <c r="K112" s="2027"/>
      <c r="L112" s="2024">
        <f t="shared" si="4"/>
        <v>0</v>
      </c>
      <c r="M112" s="2027"/>
      <c r="N112" s="2024">
        <f t="shared" si="5"/>
        <v>0</v>
      </c>
      <c r="O112" s="2024">
        <f t="shared" si="6"/>
        <v>0</v>
      </c>
      <c r="P112" s="1699"/>
    </row>
    <row r="113" spans="1:16">
      <c r="A113" s="916"/>
      <c r="B113" s="1982" t="str">
        <f t="shared" si="10"/>
        <v/>
      </c>
      <c r="C113" s="2018" t="str">
        <f>IF(D98="","-",+C112+1)</f>
        <v>-</v>
      </c>
      <c r="D113" s="2025">
        <f t="shared" si="7"/>
        <v>0</v>
      </c>
      <c r="E113" s="2026">
        <f>IF(+I101&lt;F112,I101,D113)</f>
        <v>0</v>
      </c>
      <c r="F113" s="2025">
        <f t="shared" si="2"/>
        <v>0</v>
      </c>
      <c r="G113" s="2026">
        <f t="shared" si="8"/>
        <v>0</v>
      </c>
      <c r="H113" s="2006">
        <f t="shared" si="9"/>
        <v>0</v>
      </c>
      <c r="I113" s="2021">
        <f t="shared" si="3"/>
        <v>0</v>
      </c>
      <c r="J113" s="2021"/>
      <c r="K113" s="2027"/>
      <c r="L113" s="2024">
        <f t="shared" si="4"/>
        <v>0</v>
      </c>
      <c r="M113" s="2027"/>
      <c r="N113" s="2024">
        <f t="shared" si="5"/>
        <v>0</v>
      </c>
      <c r="O113" s="2024">
        <f t="shared" si="6"/>
        <v>0</v>
      </c>
      <c r="P113" s="1699"/>
    </row>
    <row r="114" spans="1:16">
      <c r="A114" s="916"/>
      <c r="B114" s="1982" t="str">
        <f t="shared" si="10"/>
        <v/>
      </c>
      <c r="C114" s="2018" t="str">
        <f>IF(D98="","-",+C113+1)</f>
        <v>-</v>
      </c>
      <c r="D114" s="2028">
        <f t="shared" si="7"/>
        <v>0</v>
      </c>
      <c r="E114" s="2026">
        <f>IF(+I101&lt;F113,I101,D114)</f>
        <v>0</v>
      </c>
      <c r="F114" s="2025">
        <f t="shared" si="2"/>
        <v>0</v>
      </c>
      <c r="G114" s="2026">
        <f t="shared" si="8"/>
        <v>0</v>
      </c>
      <c r="H114" s="2006">
        <f t="shared" si="9"/>
        <v>0</v>
      </c>
      <c r="I114" s="2021">
        <f t="shared" si="3"/>
        <v>0</v>
      </c>
      <c r="J114" s="2021"/>
      <c r="K114" s="2027"/>
      <c r="L114" s="2024">
        <f t="shared" si="4"/>
        <v>0</v>
      </c>
      <c r="M114" s="2027"/>
      <c r="N114" s="2024">
        <f t="shared" si="5"/>
        <v>0</v>
      </c>
      <c r="O114" s="2024">
        <f t="shared" si="6"/>
        <v>0</v>
      </c>
      <c r="P114" s="1699"/>
    </row>
    <row r="115" spans="1:16">
      <c r="A115" s="916"/>
      <c r="B115" s="1982" t="str">
        <f t="shared" si="10"/>
        <v/>
      </c>
      <c r="C115" s="2018" t="str">
        <f>IF(D98="","-",+C114+1)</f>
        <v>-</v>
      </c>
      <c r="D115" s="2025">
        <f t="shared" si="7"/>
        <v>0</v>
      </c>
      <c r="E115" s="2026">
        <f>IF(+I101&lt;F114,I101,D115)</f>
        <v>0</v>
      </c>
      <c r="F115" s="2025">
        <f t="shared" si="2"/>
        <v>0</v>
      </c>
      <c r="G115" s="2026">
        <f t="shared" si="8"/>
        <v>0</v>
      </c>
      <c r="H115" s="2006">
        <f t="shared" si="9"/>
        <v>0</v>
      </c>
      <c r="I115" s="2021">
        <f t="shared" si="3"/>
        <v>0</v>
      </c>
      <c r="J115" s="2021"/>
      <c r="K115" s="2027"/>
      <c r="L115" s="2024">
        <f t="shared" si="4"/>
        <v>0</v>
      </c>
      <c r="M115" s="2027"/>
      <c r="N115" s="2024">
        <f t="shared" si="5"/>
        <v>0</v>
      </c>
      <c r="O115" s="2024">
        <f t="shared" si="6"/>
        <v>0</v>
      </c>
      <c r="P115" s="1699"/>
    </row>
    <row r="116" spans="1:16">
      <c r="A116" s="916"/>
      <c r="B116" s="1982" t="str">
        <f t="shared" si="10"/>
        <v/>
      </c>
      <c r="C116" s="2018" t="str">
        <f>IF(D98="","-",+C115+1)</f>
        <v>-</v>
      </c>
      <c r="D116" s="2025">
        <f t="shared" si="7"/>
        <v>0</v>
      </c>
      <c r="E116" s="2026">
        <f>IF(+I101&lt;F115,I101,D116)</f>
        <v>0</v>
      </c>
      <c r="F116" s="2025">
        <f t="shared" si="2"/>
        <v>0</v>
      </c>
      <c r="G116" s="2026">
        <f t="shared" si="8"/>
        <v>0</v>
      </c>
      <c r="H116" s="2006">
        <f t="shared" si="9"/>
        <v>0</v>
      </c>
      <c r="I116" s="2021">
        <f t="shared" si="3"/>
        <v>0</v>
      </c>
      <c r="J116" s="2021"/>
      <c r="K116" s="2027"/>
      <c r="L116" s="2024">
        <f t="shared" si="4"/>
        <v>0</v>
      </c>
      <c r="M116" s="2027"/>
      <c r="N116" s="2024">
        <f t="shared" si="5"/>
        <v>0</v>
      </c>
      <c r="O116" s="2024">
        <f t="shared" si="6"/>
        <v>0</v>
      </c>
      <c r="P116" s="1699"/>
    </row>
    <row r="117" spans="1:16">
      <c r="A117" s="916"/>
      <c r="B117" s="1982" t="str">
        <f t="shared" si="10"/>
        <v/>
      </c>
      <c r="C117" s="2018" t="str">
        <f>IF(D98="","-",+C116+1)</f>
        <v>-</v>
      </c>
      <c r="D117" s="2025">
        <f t="shared" si="7"/>
        <v>0</v>
      </c>
      <c r="E117" s="2026">
        <f>IF(+I101&lt;F116,I101,D117)</f>
        <v>0</v>
      </c>
      <c r="F117" s="2025">
        <f t="shared" si="2"/>
        <v>0</v>
      </c>
      <c r="G117" s="2026">
        <f t="shared" si="8"/>
        <v>0</v>
      </c>
      <c r="H117" s="2006">
        <f t="shared" si="9"/>
        <v>0</v>
      </c>
      <c r="I117" s="2021">
        <f t="shared" si="3"/>
        <v>0</v>
      </c>
      <c r="J117" s="2021"/>
      <c r="K117" s="2027"/>
      <c r="L117" s="2024">
        <f t="shared" si="4"/>
        <v>0</v>
      </c>
      <c r="M117" s="2027"/>
      <c r="N117" s="2024">
        <f t="shared" si="5"/>
        <v>0</v>
      </c>
      <c r="O117" s="2024">
        <f t="shared" si="6"/>
        <v>0</v>
      </c>
      <c r="P117" s="1699"/>
    </row>
    <row r="118" spans="1:16">
      <c r="A118" s="916"/>
      <c r="B118" s="1982" t="str">
        <f t="shared" si="10"/>
        <v/>
      </c>
      <c r="C118" s="2018" t="str">
        <f>IF(D98="","-",+C117+1)</f>
        <v>-</v>
      </c>
      <c r="D118" s="2025">
        <f t="shared" si="7"/>
        <v>0</v>
      </c>
      <c r="E118" s="2026">
        <f>IF(+I101&lt;F117,I101,D118)</f>
        <v>0</v>
      </c>
      <c r="F118" s="2025">
        <f t="shared" si="2"/>
        <v>0</v>
      </c>
      <c r="G118" s="2026">
        <f t="shared" si="8"/>
        <v>0</v>
      </c>
      <c r="H118" s="2006">
        <f t="shared" si="9"/>
        <v>0</v>
      </c>
      <c r="I118" s="2021">
        <f t="shared" si="3"/>
        <v>0</v>
      </c>
      <c r="J118" s="2021"/>
      <c r="K118" s="2027"/>
      <c r="L118" s="2024">
        <f t="shared" si="4"/>
        <v>0</v>
      </c>
      <c r="M118" s="2027"/>
      <c r="N118" s="2024">
        <f t="shared" si="5"/>
        <v>0</v>
      </c>
      <c r="O118" s="2024">
        <f t="shared" si="6"/>
        <v>0</v>
      </c>
      <c r="P118" s="1699"/>
    </row>
    <row r="119" spans="1:16">
      <c r="A119" s="916"/>
      <c r="B119" s="1982" t="str">
        <f t="shared" si="10"/>
        <v/>
      </c>
      <c r="C119" s="2018" t="str">
        <f>IF(D98="","-",+C118+1)</f>
        <v>-</v>
      </c>
      <c r="D119" s="2025">
        <f t="shared" si="7"/>
        <v>0</v>
      </c>
      <c r="E119" s="2026">
        <f>IF(+I101&lt;F118,I101,D119)</f>
        <v>0</v>
      </c>
      <c r="F119" s="2025">
        <f t="shared" si="2"/>
        <v>0</v>
      </c>
      <c r="G119" s="2026">
        <f t="shared" si="8"/>
        <v>0</v>
      </c>
      <c r="H119" s="2006">
        <f t="shared" si="9"/>
        <v>0</v>
      </c>
      <c r="I119" s="2021">
        <f t="shared" si="3"/>
        <v>0</v>
      </c>
      <c r="J119" s="2021"/>
      <c r="K119" s="2027"/>
      <c r="L119" s="2024">
        <f t="shared" si="4"/>
        <v>0</v>
      </c>
      <c r="M119" s="2027"/>
      <c r="N119" s="2024">
        <f t="shared" si="5"/>
        <v>0</v>
      </c>
      <c r="O119" s="2024">
        <f t="shared" si="6"/>
        <v>0</v>
      </c>
      <c r="P119" s="1699"/>
    </row>
    <row r="120" spans="1:16">
      <c r="A120" s="916"/>
      <c r="B120" s="1982" t="str">
        <f t="shared" si="10"/>
        <v/>
      </c>
      <c r="C120" s="2018" t="str">
        <f>IF(D98="","-",+C119+1)</f>
        <v>-</v>
      </c>
      <c r="D120" s="2025">
        <f t="shared" si="7"/>
        <v>0</v>
      </c>
      <c r="E120" s="2026">
        <f>IF(+I101&lt;F119,I101,D120)</f>
        <v>0</v>
      </c>
      <c r="F120" s="2025">
        <f t="shared" si="2"/>
        <v>0</v>
      </c>
      <c r="G120" s="2026">
        <f t="shared" si="8"/>
        <v>0</v>
      </c>
      <c r="H120" s="2006">
        <f t="shared" si="9"/>
        <v>0</v>
      </c>
      <c r="I120" s="2021">
        <f t="shared" si="3"/>
        <v>0</v>
      </c>
      <c r="J120" s="2021"/>
      <c r="K120" s="2027"/>
      <c r="L120" s="2024">
        <f t="shared" si="4"/>
        <v>0</v>
      </c>
      <c r="M120" s="2027"/>
      <c r="N120" s="2024">
        <f t="shared" si="5"/>
        <v>0</v>
      </c>
      <c r="O120" s="2024">
        <f t="shared" si="6"/>
        <v>0</v>
      </c>
      <c r="P120" s="1699"/>
    </row>
    <row r="121" spans="1:16">
      <c r="A121" s="916"/>
      <c r="B121" s="1982" t="str">
        <f t="shared" si="10"/>
        <v/>
      </c>
      <c r="C121" s="2018" t="str">
        <f>IF(D98="","-",+C120+1)</f>
        <v>-</v>
      </c>
      <c r="D121" s="2025">
        <f t="shared" si="7"/>
        <v>0</v>
      </c>
      <c r="E121" s="2026">
        <f>IF(+I101&lt;F120,I101,D121)</f>
        <v>0</v>
      </c>
      <c r="F121" s="2025">
        <f t="shared" si="2"/>
        <v>0</v>
      </c>
      <c r="G121" s="2026">
        <f t="shared" si="8"/>
        <v>0</v>
      </c>
      <c r="H121" s="2006">
        <f t="shared" si="9"/>
        <v>0</v>
      </c>
      <c r="I121" s="2021">
        <f t="shared" si="3"/>
        <v>0</v>
      </c>
      <c r="J121" s="2021"/>
      <c r="K121" s="2027"/>
      <c r="L121" s="2024">
        <f t="shared" si="4"/>
        <v>0</v>
      </c>
      <c r="M121" s="2027"/>
      <c r="N121" s="2024">
        <f t="shared" si="5"/>
        <v>0</v>
      </c>
      <c r="O121" s="2024">
        <f t="shared" si="6"/>
        <v>0</v>
      </c>
      <c r="P121" s="1699"/>
    </row>
    <row r="122" spans="1:16">
      <c r="A122" s="916"/>
      <c r="B122" s="1982" t="str">
        <f t="shared" si="10"/>
        <v/>
      </c>
      <c r="C122" s="2018" t="str">
        <f>IF(D98="","-",+C121+1)</f>
        <v>-</v>
      </c>
      <c r="D122" s="2025">
        <f t="shared" si="7"/>
        <v>0</v>
      </c>
      <c r="E122" s="2026">
        <f>IF(+I101&lt;F121,I101,D122)</f>
        <v>0</v>
      </c>
      <c r="F122" s="2025">
        <f t="shared" si="2"/>
        <v>0</v>
      </c>
      <c r="G122" s="2026">
        <f t="shared" si="8"/>
        <v>0</v>
      </c>
      <c r="H122" s="2006">
        <f t="shared" si="9"/>
        <v>0</v>
      </c>
      <c r="I122" s="2021">
        <f t="shared" si="3"/>
        <v>0</v>
      </c>
      <c r="J122" s="2021"/>
      <c r="K122" s="2027"/>
      <c r="L122" s="2024">
        <f t="shared" si="4"/>
        <v>0</v>
      </c>
      <c r="M122" s="2027"/>
      <c r="N122" s="2024">
        <f t="shared" si="5"/>
        <v>0</v>
      </c>
      <c r="O122" s="2024">
        <f t="shared" si="6"/>
        <v>0</v>
      </c>
      <c r="P122" s="1699"/>
    </row>
    <row r="123" spans="1:16">
      <c r="A123" s="916"/>
      <c r="B123" s="1982" t="str">
        <f t="shared" si="10"/>
        <v/>
      </c>
      <c r="C123" s="2018" t="str">
        <f>IF(D98="","-",+C122+1)</f>
        <v>-</v>
      </c>
      <c r="D123" s="2025">
        <f t="shared" si="7"/>
        <v>0</v>
      </c>
      <c r="E123" s="2026">
        <f>IF(+I101&lt;F122,I101,D123)</f>
        <v>0</v>
      </c>
      <c r="F123" s="2025">
        <f t="shared" si="2"/>
        <v>0</v>
      </c>
      <c r="G123" s="2026">
        <f t="shared" si="8"/>
        <v>0</v>
      </c>
      <c r="H123" s="2006">
        <f t="shared" si="9"/>
        <v>0</v>
      </c>
      <c r="I123" s="2021">
        <f t="shared" si="3"/>
        <v>0</v>
      </c>
      <c r="J123" s="2021"/>
      <c r="K123" s="2027"/>
      <c r="L123" s="2024">
        <f t="shared" si="4"/>
        <v>0</v>
      </c>
      <c r="M123" s="2027"/>
      <c r="N123" s="2024">
        <f t="shared" si="5"/>
        <v>0</v>
      </c>
      <c r="O123" s="2024">
        <f t="shared" si="6"/>
        <v>0</v>
      </c>
      <c r="P123" s="1699"/>
    </row>
    <row r="124" spans="1:16">
      <c r="A124" s="916"/>
      <c r="B124" s="1982" t="str">
        <f t="shared" si="10"/>
        <v/>
      </c>
      <c r="C124" s="2018" t="str">
        <f>IF(D98="","-",+C123+1)</f>
        <v>-</v>
      </c>
      <c r="D124" s="2025">
        <f t="shared" si="7"/>
        <v>0</v>
      </c>
      <c r="E124" s="2026">
        <f>IF(+I101&lt;F123,I101,D124)</f>
        <v>0</v>
      </c>
      <c r="F124" s="2025">
        <f t="shared" si="2"/>
        <v>0</v>
      </c>
      <c r="G124" s="2026">
        <f t="shared" si="8"/>
        <v>0</v>
      </c>
      <c r="H124" s="2006">
        <f t="shared" si="9"/>
        <v>0</v>
      </c>
      <c r="I124" s="2021">
        <f t="shared" si="3"/>
        <v>0</v>
      </c>
      <c r="J124" s="2021"/>
      <c r="K124" s="2027"/>
      <c r="L124" s="2024">
        <f t="shared" si="4"/>
        <v>0</v>
      </c>
      <c r="M124" s="2027"/>
      <c r="N124" s="2024">
        <f t="shared" si="5"/>
        <v>0</v>
      </c>
      <c r="O124" s="2024">
        <f t="shared" si="6"/>
        <v>0</v>
      </c>
      <c r="P124" s="1699"/>
    </row>
    <row r="125" spans="1:16">
      <c r="A125" s="916"/>
      <c r="B125" s="1982" t="str">
        <f t="shared" si="10"/>
        <v/>
      </c>
      <c r="C125" s="2018" t="str">
        <f>IF(D98="","-",+C124+1)</f>
        <v>-</v>
      </c>
      <c r="D125" s="2025">
        <f t="shared" si="7"/>
        <v>0</v>
      </c>
      <c r="E125" s="2026">
        <f>IF(+I101&lt;F124,I101,D125)</f>
        <v>0</v>
      </c>
      <c r="F125" s="2025">
        <f t="shared" si="2"/>
        <v>0</v>
      </c>
      <c r="G125" s="2026">
        <f t="shared" si="8"/>
        <v>0</v>
      </c>
      <c r="H125" s="2006">
        <f t="shared" si="9"/>
        <v>0</v>
      </c>
      <c r="I125" s="2021">
        <f t="shared" si="3"/>
        <v>0</v>
      </c>
      <c r="J125" s="2021"/>
      <c r="K125" s="2027"/>
      <c r="L125" s="2024">
        <f t="shared" si="4"/>
        <v>0</v>
      </c>
      <c r="M125" s="2027"/>
      <c r="N125" s="2024">
        <f t="shared" si="5"/>
        <v>0</v>
      </c>
      <c r="O125" s="2024">
        <f t="shared" si="6"/>
        <v>0</v>
      </c>
      <c r="P125" s="1699"/>
    </row>
    <row r="126" spans="1:16">
      <c r="A126" s="916"/>
      <c r="B126" s="1982" t="str">
        <f t="shared" si="10"/>
        <v/>
      </c>
      <c r="C126" s="2018" t="str">
        <f>IF(D98="","-",+C125+1)</f>
        <v>-</v>
      </c>
      <c r="D126" s="2025">
        <f t="shared" si="7"/>
        <v>0</v>
      </c>
      <c r="E126" s="2026">
        <f>IF(+I101&lt;F125,I101,D126)</f>
        <v>0</v>
      </c>
      <c r="F126" s="2025">
        <f t="shared" si="2"/>
        <v>0</v>
      </c>
      <c r="G126" s="2026">
        <f t="shared" si="8"/>
        <v>0</v>
      </c>
      <c r="H126" s="2006">
        <f t="shared" si="9"/>
        <v>0</v>
      </c>
      <c r="I126" s="2021">
        <f t="shared" si="3"/>
        <v>0</v>
      </c>
      <c r="J126" s="2021"/>
      <c r="K126" s="2027"/>
      <c r="L126" s="2024">
        <f t="shared" si="4"/>
        <v>0</v>
      </c>
      <c r="M126" s="2027"/>
      <c r="N126" s="2024">
        <f t="shared" si="5"/>
        <v>0</v>
      </c>
      <c r="O126" s="2024">
        <f t="shared" si="6"/>
        <v>0</v>
      </c>
      <c r="P126" s="1699"/>
    </row>
    <row r="127" spans="1:16">
      <c r="A127" s="916"/>
      <c r="B127" s="1982" t="str">
        <f t="shared" si="10"/>
        <v/>
      </c>
      <c r="C127" s="2018" t="str">
        <f>IF(D98="","-",+C126+1)</f>
        <v>-</v>
      </c>
      <c r="D127" s="2025">
        <f t="shared" si="7"/>
        <v>0</v>
      </c>
      <c r="E127" s="2026">
        <f>IF(+I101&lt;F126,I101,D127)</f>
        <v>0</v>
      </c>
      <c r="F127" s="2025">
        <f t="shared" si="2"/>
        <v>0</v>
      </c>
      <c r="G127" s="2026">
        <f t="shared" si="8"/>
        <v>0</v>
      </c>
      <c r="H127" s="2006">
        <f t="shared" si="9"/>
        <v>0</v>
      </c>
      <c r="I127" s="2021">
        <f t="shared" si="3"/>
        <v>0</v>
      </c>
      <c r="J127" s="2021"/>
      <c r="K127" s="2027"/>
      <c r="L127" s="2024">
        <f t="shared" si="4"/>
        <v>0</v>
      </c>
      <c r="M127" s="2027"/>
      <c r="N127" s="2024">
        <f t="shared" si="5"/>
        <v>0</v>
      </c>
      <c r="O127" s="2024">
        <f t="shared" si="6"/>
        <v>0</v>
      </c>
      <c r="P127" s="1699"/>
    </row>
    <row r="128" spans="1:16">
      <c r="A128" s="916"/>
      <c r="B128" s="1982" t="str">
        <f t="shared" si="10"/>
        <v/>
      </c>
      <c r="C128" s="2018" t="str">
        <f>IF(D98="","-",+C127+1)</f>
        <v>-</v>
      </c>
      <c r="D128" s="2025">
        <f t="shared" si="7"/>
        <v>0</v>
      </c>
      <c r="E128" s="2026">
        <f>IF(+I101&lt;F127,I101,D128)</f>
        <v>0</v>
      </c>
      <c r="F128" s="2025">
        <f t="shared" si="2"/>
        <v>0</v>
      </c>
      <c r="G128" s="2026">
        <f t="shared" si="8"/>
        <v>0</v>
      </c>
      <c r="H128" s="2006">
        <f t="shared" si="9"/>
        <v>0</v>
      </c>
      <c r="I128" s="2021">
        <f t="shared" si="3"/>
        <v>0</v>
      </c>
      <c r="J128" s="2021"/>
      <c r="K128" s="2027"/>
      <c r="L128" s="2024">
        <f t="shared" si="4"/>
        <v>0</v>
      </c>
      <c r="M128" s="2027"/>
      <c r="N128" s="2024">
        <f t="shared" si="5"/>
        <v>0</v>
      </c>
      <c r="O128" s="2024">
        <f t="shared" si="6"/>
        <v>0</v>
      </c>
      <c r="P128" s="1699"/>
    </row>
    <row r="129" spans="1:16">
      <c r="A129" s="916"/>
      <c r="B129" s="1982" t="str">
        <f t="shared" si="10"/>
        <v/>
      </c>
      <c r="C129" s="2018" t="str">
        <f>IF(D98="","-",+C128+1)</f>
        <v>-</v>
      </c>
      <c r="D129" s="2025">
        <f t="shared" si="7"/>
        <v>0</v>
      </c>
      <c r="E129" s="2026">
        <f>IF(+I101&lt;F128,I101,D129)</f>
        <v>0</v>
      </c>
      <c r="F129" s="2025">
        <f t="shared" si="2"/>
        <v>0</v>
      </c>
      <c r="G129" s="2026">
        <f t="shared" si="8"/>
        <v>0</v>
      </c>
      <c r="H129" s="2006">
        <f t="shared" si="9"/>
        <v>0</v>
      </c>
      <c r="I129" s="2021">
        <f t="shared" si="3"/>
        <v>0</v>
      </c>
      <c r="J129" s="2021"/>
      <c r="K129" s="2027"/>
      <c r="L129" s="2024">
        <f t="shared" si="4"/>
        <v>0</v>
      </c>
      <c r="M129" s="2027"/>
      <c r="N129" s="2024">
        <f t="shared" si="5"/>
        <v>0</v>
      </c>
      <c r="O129" s="2024">
        <f t="shared" si="6"/>
        <v>0</v>
      </c>
      <c r="P129" s="1699"/>
    </row>
    <row r="130" spans="1:16">
      <c r="A130" s="916"/>
      <c r="B130" s="1982" t="str">
        <f t="shared" si="10"/>
        <v/>
      </c>
      <c r="C130" s="2018" t="str">
        <f>IF(D98="","-",+C129+1)</f>
        <v>-</v>
      </c>
      <c r="D130" s="2025">
        <f t="shared" si="7"/>
        <v>0</v>
      </c>
      <c r="E130" s="2026">
        <f>IF(+I101&lt;F129,I101,D130)</f>
        <v>0</v>
      </c>
      <c r="F130" s="2025">
        <f t="shared" si="2"/>
        <v>0</v>
      </c>
      <c r="G130" s="2026">
        <f t="shared" si="8"/>
        <v>0</v>
      </c>
      <c r="H130" s="2006">
        <f t="shared" si="9"/>
        <v>0</v>
      </c>
      <c r="I130" s="2021">
        <f t="shared" si="3"/>
        <v>0</v>
      </c>
      <c r="J130" s="2021"/>
      <c r="K130" s="2027"/>
      <c r="L130" s="2024">
        <f t="shared" si="4"/>
        <v>0</v>
      </c>
      <c r="M130" s="2027"/>
      <c r="N130" s="2024">
        <f t="shared" si="5"/>
        <v>0</v>
      </c>
      <c r="O130" s="2024">
        <f t="shared" si="6"/>
        <v>0</v>
      </c>
      <c r="P130" s="1699"/>
    </row>
    <row r="131" spans="1:16">
      <c r="A131" s="916"/>
      <c r="B131" s="1982" t="str">
        <f t="shared" si="10"/>
        <v/>
      </c>
      <c r="C131" s="2018" t="str">
        <f>IF(D98="","-",+C130+1)</f>
        <v>-</v>
      </c>
      <c r="D131" s="2025">
        <f t="shared" si="7"/>
        <v>0</v>
      </c>
      <c r="E131" s="2026">
        <f>IF(+I101&lt;F130,I101,D131)</f>
        <v>0</v>
      </c>
      <c r="F131" s="2025">
        <f t="shared" si="2"/>
        <v>0</v>
      </c>
      <c r="G131" s="2026">
        <f t="shared" si="8"/>
        <v>0</v>
      </c>
      <c r="H131" s="2006">
        <f t="shared" si="9"/>
        <v>0</v>
      </c>
      <c r="I131" s="2021">
        <f t="shared" si="3"/>
        <v>0</v>
      </c>
      <c r="J131" s="2021"/>
      <c r="K131" s="2027"/>
      <c r="L131" s="2024">
        <f t="shared" si="4"/>
        <v>0</v>
      </c>
      <c r="M131" s="2027"/>
      <c r="N131" s="2024">
        <f t="shared" si="5"/>
        <v>0</v>
      </c>
      <c r="O131" s="2024">
        <f t="shared" si="6"/>
        <v>0</v>
      </c>
      <c r="P131" s="1699"/>
    </row>
    <row r="132" spans="1:16">
      <c r="A132" s="916"/>
      <c r="B132" s="1982" t="str">
        <f t="shared" si="10"/>
        <v/>
      </c>
      <c r="C132" s="2018" t="str">
        <f>IF(D98="","-",+C131+1)</f>
        <v>-</v>
      </c>
      <c r="D132" s="2025">
        <f t="shared" si="7"/>
        <v>0</v>
      </c>
      <c r="E132" s="2026">
        <f>IF(+I101&lt;F131,I101,D132)</f>
        <v>0</v>
      </c>
      <c r="F132" s="2025">
        <f t="shared" si="2"/>
        <v>0</v>
      </c>
      <c r="G132" s="2026">
        <f t="shared" si="8"/>
        <v>0</v>
      </c>
      <c r="H132" s="2006">
        <f t="shared" si="9"/>
        <v>0</v>
      </c>
      <c r="I132" s="2021">
        <f t="shared" si="3"/>
        <v>0</v>
      </c>
      <c r="J132" s="2021"/>
      <c r="K132" s="2027"/>
      <c r="L132" s="2024">
        <f t="shared" si="4"/>
        <v>0</v>
      </c>
      <c r="M132" s="2027"/>
      <c r="N132" s="2024">
        <f t="shared" si="5"/>
        <v>0</v>
      </c>
      <c r="O132" s="2024">
        <f t="shared" si="6"/>
        <v>0</v>
      </c>
      <c r="P132" s="1699"/>
    </row>
    <row r="133" spans="1:16">
      <c r="A133" s="916"/>
      <c r="B133" s="1982" t="str">
        <f t="shared" si="10"/>
        <v/>
      </c>
      <c r="C133" s="2018" t="str">
        <f>IF(D98="","-",+C132+1)</f>
        <v>-</v>
      </c>
      <c r="D133" s="2025">
        <f t="shared" si="7"/>
        <v>0</v>
      </c>
      <c r="E133" s="2026">
        <f>IF(+I101&lt;F132,I101,D133)</f>
        <v>0</v>
      </c>
      <c r="F133" s="2025">
        <f t="shared" si="2"/>
        <v>0</v>
      </c>
      <c r="G133" s="2026">
        <f t="shared" si="8"/>
        <v>0</v>
      </c>
      <c r="H133" s="2006">
        <f t="shared" si="9"/>
        <v>0</v>
      </c>
      <c r="I133" s="2021">
        <f t="shared" si="3"/>
        <v>0</v>
      </c>
      <c r="J133" s="2021"/>
      <c r="K133" s="2027"/>
      <c r="L133" s="2024">
        <f t="shared" si="4"/>
        <v>0</v>
      </c>
      <c r="M133" s="2027"/>
      <c r="N133" s="2024">
        <f t="shared" si="5"/>
        <v>0</v>
      </c>
      <c r="O133" s="2024">
        <f t="shared" si="6"/>
        <v>0</v>
      </c>
      <c r="P133" s="1699"/>
    </row>
    <row r="134" spans="1:16">
      <c r="A134" s="916"/>
      <c r="B134" s="1982" t="str">
        <f t="shared" si="10"/>
        <v/>
      </c>
      <c r="C134" s="2018" t="str">
        <f>IF(D98="","-",+C133+1)</f>
        <v>-</v>
      </c>
      <c r="D134" s="2025">
        <f t="shared" si="7"/>
        <v>0</v>
      </c>
      <c r="E134" s="2026">
        <f>IF(+I101&lt;F133,I101,D134)</f>
        <v>0</v>
      </c>
      <c r="F134" s="2025">
        <f t="shared" si="2"/>
        <v>0</v>
      </c>
      <c r="G134" s="2026">
        <f t="shared" si="8"/>
        <v>0</v>
      </c>
      <c r="H134" s="2006">
        <f t="shared" si="9"/>
        <v>0</v>
      </c>
      <c r="I134" s="2021">
        <f t="shared" si="3"/>
        <v>0</v>
      </c>
      <c r="J134" s="2021"/>
      <c r="K134" s="2027"/>
      <c r="L134" s="2024">
        <f t="shared" si="4"/>
        <v>0</v>
      </c>
      <c r="M134" s="2027"/>
      <c r="N134" s="2024">
        <f t="shared" si="5"/>
        <v>0</v>
      </c>
      <c r="O134" s="2024">
        <f t="shared" si="6"/>
        <v>0</v>
      </c>
      <c r="P134" s="1699"/>
    </row>
    <row r="135" spans="1:16">
      <c r="A135" s="916"/>
      <c r="B135" s="1982" t="str">
        <f t="shared" si="10"/>
        <v/>
      </c>
      <c r="C135" s="2018" t="str">
        <f>IF(D98="","-",+C134+1)</f>
        <v>-</v>
      </c>
      <c r="D135" s="2025">
        <f t="shared" si="7"/>
        <v>0</v>
      </c>
      <c r="E135" s="2026">
        <f>IF(+I101&lt;F134,I101,D135)</f>
        <v>0</v>
      </c>
      <c r="F135" s="2025">
        <f t="shared" si="2"/>
        <v>0</v>
      </c>
      <c r="G135" s="2026">
        <f t="shared" si="8"/>
        <v>0</v>
      </c>
      <c r="H135" s="2006">
        <f t="shared" si="9"/>
        <v>0</v>
      </c>
      <c r="I135" s="2021">
        <f t="shared" si="3"/>
        <v>0</v>
      </c>
      <c r="J135" s="2021"/>
      <c r="K135" s="2027"/>
      <c r="L135" s="2024">
        <f t="shared" si="4"/>
        <v>0</v>
      </c>
      <c r="M135" s="2027"/>
      <c r="N135" s="2024">
        <f t="shared" si="5"/>
        <v>0</v>
      </c>
      <c r="O135" s="2024">
        <f t="shared" si="6"/>
        <v>0</v>
      </c>
      <c r="P135" s="1699"/>
    </row>
    <row r="136" spans="1:16">
      <c r="A136" s="916"/>
      <c r="B136" s="1982" t="str">
        <f t="shared" si="10"/>
        <v/>
      </c>
      <c r="C136" s="2018" t="str">
        <f>IF(D98="","-",+C135+1)</f>
        <v>-</v>
      </c>
      <c r="D136" s="2025">
        <f t="shared" si="7"/>
        <v>0</v>
      </c>
      <c r="E136" s="2026">
        <f>IF(+I101&lt;F135,I101,D136)</f>
        <v>0</v>
      </c>
      <c r="F136" s="2025">
        <f t="shared" si="2"/>
        <v>0</v>
      </c>
      <c r="G136" s="2026">
        <f t="shared" si="8"/>
        <v>0</v>
      </c>
      <c r="H136" s="2006">
        <f t="shared" si="9"/>
        <v>0</v>
      </c>
      <c r="I136" s="2021">
        <f t="shared" si="3"/>
        <v>0</v>
      </c>
      <c r="J136" s="2021"/>
      <c r="K136" s="2027"/>
      <c r="L136" s="2024">
        <f t="shared" si="4"/>
        <v>0</v>
      </c>
      <c r="M136" s="2027"/>
      <c r="N136" s="2024">
        <f t="shared" si="5"/>
        <v>0</v>
      </c>
      <c r="O136" s="2024">
        <f t="shared" si="6"/>
        <v>0</v>
      </c>
      <c r="P136" s="1699"/>
    </row>
    <row r="137" spans="1:16">
      <c r="A137" s="916"/>
      <c r="B137" s="1982" t="str">
        <f t="shared" si="10"/>
        <v/>
      </c>
      <c r="C137" s="2018" t="str">
        <f>IF(D98="","-",+C136+1)</f>
        <v>-</v>
      </c>
      <c r="D137" s="2025">
        <f t="shared" si="7"/>
        <v>0</v>
      </c>
      <c r="E137" s="2026">
        <f>IF(+I101&lt;F136,I101,D137)</f>
        <v>0</v>
      </c>
      <c r="F137" s="2025">
        <f t="shared" si="2"/>
        <v>0</v>
      </c>
      <c r="G137" s="2026">
        <f t="shared" si="8"/>
        <v>0</v>
      </c>
      <c r="H137" s="2006">
        <f t="shared" si="9"/>
        <v>0</v>
      </c>
      <c r="I137" s="2021">
        <f t="shared" si="3"/>
        <v>0</v>
      </c>
      <c r="J137" s="2021"/>
      <c r="K137" s="2027"/>
      <c r="L137" s="2024">
        <f t="shared" si="4"/>
        <v>0</v>
      </c>
      <c r="M137" s="2027"/>
      <c r="N137" s="2024">
        <f t="shared" si="5"/>
        <v>0</v>
      </c>
      <c r="O137" s="2024">
        <f t="shared" si="6"/>
        <v>0</v>
      </c>
      <c r="P137" s="1699"/>
    </row>
    <row r="138" spans="1:16">
      <c r="A138" s="916"/>
      <c r="B138" s="1982" t="str">
        <f t="shared" si="10"/>
        <v/>
      </c>
      <c r="C138" s="2018" t="str">
        <f>IF(D98="","-",+C137+1)</f>
        <v>-</v>
      </c>
      <c r="D138" s="2025">
        <f t="shared" si="7"/>
        <v>0</v>
      </c>
      <c r="E138" s="2026">
        <f>IF(+I101&lt;F137,I101,D138)</f>
        <v>0</v>
      </c>
      <c r="F138" s="2025">
        <f t="shared" si="2"/>
        <v>0</v>
      </c>
      <c r="G138" s="2026">
        <f t="shared" si="8"/>
        <v>0</v>
      </c>
      <c r="H138" s="2006">
        <f t="shared" si="9"/>
        <v>0</v>
      </c>
      <c r="I138" s="2021">
        <f t="shared" si="3"/>
        <v>0</v>
      </c>
      <c r="J138" s="2021"/>
      <c r="K138" s="2027"/>
      <c r="L138" s="2024">
        <f t="shared" si="4"/>
        <v>0</v>
      </c>
      <c r="M138" s="2027"/>
      <c r="N138" s="2024">
        <f t="shared" si="5"/>
        <v>0</v>
      </c>
      <c r="O138" s="2024">
        <f t="shared" si="6"/>
        <v>0</v>
      </c>
      <c r="P138" s="1699"/>
    </row>
    <row r="139" spans="1:16">
      <c r="A139" s="916"/>
      <c r="B139" s="1982" t="str">
        <f t="shared" si="10"/>
        <v/>
      </c>
      <c r="C139" s="2018" t="str">
        <f>IF(D98="","-",+C138+1)</f>
        <v>-</v>
      </c>
      <c r="D139" s="2025">
        <f t="shared" si="7"/>
        <v>0</v>
      </c>
      <c r="E139" s="2026">
        <f>IF(+I101&lt;F138,I101,D139)</f>
        <v>0</v>
      </c>
      <c r="F139" s="2025">
        <f t="shared" si="2"/>
        <v>0</v>
      </c>
      <c r="G139" s="2026">
        <f t="shared" si="8"/>
        <v>0</v>
      </c>
      <c r="H139" s="2006">
        <f t="shared" si="9"/>
        <v>0</v>
      </c>
      <c r="I139" s="2021">
        <f t="shared" si="3"/>
        <v>0</v>
      </c>
      <c r="J139" s="2021"/>
      <c r="K139" s="2027"/>
      <c r="L139" s="2024">
        <f t="shared" si="4"/>
        <v>0</v>
      </c>
      <c r="M139" s="2027"/>
      <c r="N139" s="2024">
        <f t="shared" si="5"/>
        <v>0</v>
      </c>
      <c r="O139" s="2024">
        <f t="shared" si="6"/>
        <v>0</v>
      </c>
      <c r="P139" s="1699"/>
    </row>
    <row r="140" spans="1:16">
      <c r="A140" s="916"/>
      <c r="B140" s="1982" t="str">
        <f t="shared" si="10"/>
        <v/>
      </c>
      <c r="C140" s="2018" t="str">
        <f>IF(D98="","-",+C139+1)</f>
        <v>-</v>
      </c>
      <c r="D140" s="2025">
        <f t="shared" si="7"/>
        <v>0</v>
      </c>
      <c r="E140" s="2026">
        <f>IF(+I101&lt;F139,I101,D140)</f>
        <v>0</v>
      </c>
      <c r="F140" s="2025">
        <f t="shared" si="2"/>
        <v>0</v>
      </c>
      <c r="G140" s="2026">
        <f t="shared" si="8"/>
        <v>0</v>
      </c>
      <c r="H140" s="2006">
        <f t="shared" si="9"/>
        <v>0</v>
      </c>
      <c r="I140" s="2021">
        <f t="shared" si="3"/>
        <v>0</v>
      </c>
      <c r="J140" s="2021"/>
      <c r="K140" s="2027"/>
      <c r="L140" s="2024">
        <f t="shared" si="4"/>
        <v>0</v>
      </c>
      <c r="M140" s="2027"/>
      <c r="N140" s="2024">
        <f t="shared" si="5"/>
        <v>0</v>
      </c>
      <c r="O140" s="2024">
        <f t="shared" si="6"/>
        <v>0</v>
      </c>
      <c r="P140" s="1699"/>
    </row>
    <row r="141" spans="1:16">
      <c r="A141" s="916"/>
      <c r="B141" s="1982" t="str">
        <f t="shared" si="10"/>
        <v/>
      </c>
      <c r="C141" s="2018" t="str">
        <f>IF(D98="","-",+C140+1)</f>
        <v>-</v>
      </c>
      <c r="D141" s="2025">
        <f t="shared" si="7"/>
        <v>0</v>
      </c>
      <c r="E141" s="2026">
        <f>IF(+I101&lt;F140,I101,D141)</f>
        <v>0</v>
      </c>
      <c r="F141" s="2025">
        <f t="shared" si="2"/>
        <v>0</v>
      </c>
      <c r="G141" s="2026">
        <f t="shared" si="8"/>
        <v>0</v>
      </c>
      <c r="H141" s="2006">
        <f t="shared" si="9"/>
        <v>0</v>
      </c>
      <c r="I141" s="2021">
        <f t="shared" si="3"/>
        <v>0</v>
      </c>
      <c r="J141" s="2021"/>
      <c r="K141" s="2027"/>
      <c r="L141" s="2024">
        <f t="shared" si="4"/>
        <v>0</v>
      </c>
      <c r="M141" s="2027"/>
      <c r="N141" s="2024">
        <f t="shared" si="5"/>
        <v>0</v>
      </c>
      <c r="O141" s="2024">
        <f t="shared" si="6"/>
        <v>0</v>
      </c>
      <c r="P141" s="1699"/>
    </row>
    <row r="142" spans="1:16">
      <c r="A142" s="916"/>
      <c r="B142" s="1982" t="str">
        <f t="shared" si="10"/>
        <v/>
      </c>
      <c r="C142" s="2018" t="str">
        <f>IF(D98="","-",+C141+1)</f>
        <v>-</v>
      </c>
      <c r="D142" s="2025">
        <f t="shared" si="7"/>
        <v>0</v>
      </c>
      <c r="E142" s="2026">
        <f>IF(+I101&lt;F141,I101,D142)</f>
        <v>0</v>
      </c>
      <c r="F142" s="2025">
        <f t="shared" si="2"/>
        <v>0</v>
      </c>
      <c r="G142" s="2026">
        <f t="shared" si="8"/>
        <v>0</v>
      </c>
      <c r="H142" s="2006">
        <f t="shared" si="9"/>
        <v>0</v>
      </c>
      <c r="I142" s="2021">
        <f t="shared" si="3"/>
        <v>0</v>
      </c>
      <c r="J142" s="2021"/>
      <c r="K142" s="2027"/>
      <c r="L142" s="2024">
        <f t="shared" si="4"/>
        <v>0</v>
      </c>
      <c r="M142" s="2027"/>
      <c r="N142" s="2024">
        <f t="shared" si="5"/>
        <v>0</v>
      </c>
      <c r="O142" s="2024">
        <f t="shared" si="6"/>
        <v>0</v>
      </c>
      <c r="P142" s="1699"/>
    </row>
    <row r="143" spans="1:16">
      <c r="A143" s="916"/>
      <c r="B143" s="1982" t="str">
        <f t="shared" si="10"/>
        <v/>
      </c>
      <c r="C143" s="2018" t="str">
        <f>IF(D98="","-",+C142+1)</f>
        <v>-</v>
      </c>
      <c r="D143" s="2025">
        <f t="shared" si="7"/>
        <v>0</v>
      </c>
      <c r="E143" s="2026">
        <f>IF(+I101&lt;F142,I101,D143)</f>
        <v>0</v>
      </c>
      <c r="F143" s="2025">
        <f t="shared" si="2"/>
        <v>0</v>
      </c>
      <c r="G143" s="2026">
        <f t="shared" si="8"/>
        <v>0</v>
      </c>
      <c r="H143" s="2006">
        <f t="shared" si="9"/>
        <v>0</v>
      </c>
      <c r="I143" s="2021">
        <f t="shared" si="3"/>
        <v>0</v>
      </c>
      <c r="J143" s="2021"/>
      <c r="K143" s="2027"/>
      <c r="L143" s="2024">
        <f t="shared" si="4"/>
        <v>0</v>
      </c>
      <c r="M143" s="2027"/>
      <c r="N143" s="2024">
        <f t="shared" si="5"/>
        <v>0</v>
      </c>
      <c r="O143" s="2024">
        <f t="shared" si="6"/>
        <v>0</v>
      </c>
      <c r="P143" s="1699"/>
    </row>
    <row r="144" spans="1:16">
      <c r="A144" s="916"/>
      <c r="B144" s="1982" t="str">
        <f t="shared" si="10"/>
        <v/>
      </c>
      <c r="C144" s="2018" t="str">
        <f>IF(D98="","-",+C143+1)</f>
        <v>-</v>
      </c>
      <c r="D144" s="2025">
        <f t="shared" si="7"/>
        <v>0</v>
      </c>
      <c r="E144" s="2026">
        <f>IF(+I101&lt;F143,I101,D144)</f>
        <v>0</v>
      </c>
      <c r="F144" s="2025">
        <f t="shared" si="2"/>
        <v>0</v>
      </c>
      <c r="G144" s="2026">
        <f t="shared" si="8"/>
        <v>0</v>
      </c>
      <c r="H144" s="2006">
        <f t="shared" si="9"/>
        <v>0</v>
      </c>
      <c r="I144" s="2021">
        <f t="shared" si="3"/>
        <v>0</v>
      </c>
      <c r="J144" s="2021"/>
      <c r="K144" s="2027"/>
      <c r="L144" s="2024">
        <f t="shared" si="4"/>
        <v>0</v>
      </c>
      <c r="M144" s="2027"/>
      <c r="N144" s="2024">
        <f t="shared" si="5"/>
        <v>0</v>
      </c>
      <c r="O144" s="2024">
        <f t="shared" si="6"/>
        <v>0</v>
      </c>
      <c r="P144" s="1699"/>
    </row>
    <row r="145" spans="1:16">
      <c r="A145" s="916"/>
      <c r="B145" s="1982" t="str">
        <f t="shared" si="10"/>
        <v/>
      </c>
      <c r="C145" s="2018" t="str">
        <f>IF(D98="","-",+C144+1)</f>
        <v>-</v>
      </c>
      <c r="D145" s="2025">
        <f t="shared" si="7"/>
        <v>0</v>
      </c>
      <c r="E145" s="2026">
        <f>IF(+I101&lt;F144,I101,D145)</f>
        <v>0</v>
      </c>
      <c r="F145" s="2025">
        <f t="shared" si="2"/>
        <v>0</v>
      </c>
      <c r="G145" s="2026">
        <f t="shared" si="8"/>
        <v>0</v>
      </c>
      <c r="H145" s="2006">
        <f t="shared" si="9"/>
        <v>0</v>
      </c>
      <c r="I145" s="2021">
        <f t="shared" si="3"/>
        <v>0</v>
      </c>
      <c r="J145" s="2021"/>
      <c r="K145" s="2027"/>
      <c r="L145" s="2024">
        <f t="shared" si="4"/>
        <v>0</v>
      </c>
      <c r="M145" s="2027"/>
      <c r="N145" s="2024">
        <f t="shared" si="5"/>
        <v>0</v>
      </c>
      <c r="O145" s="2024">
        <f t="shared" si="6"/>
        <v>0</v>
      </c>
      <c r="P145" s="1699"/>
    </row>
    <row r="146" spans="1:16">
      <c r="A146" s="916"/>
      <c r="B146" s="1982" t="str">
        <f t="shared" si="10"/>
        <v/>
      </c>
      <c r="C146" s="2018" t="str">
        <f>IF(D98="","-",+C145+1)</f>
        <v>-</v>
      </c>
      <c r="D146" s="2025">
        <f t="shared" si="7"/>
        <v>0</v>
      </c>
      <c r="E146" s="2026">
        <f>IF(+I101&lt;F145,I101,D146)</f>
        <v>0</v>
      </c>
      <c r="F146" s="2025">
        <f t="shared" si="2"/>
        <v>0</v>
      </c>
      <c r="G146" s="2026">
        <f t="shared" si="8"/>
        <v>0</v>
      </c>
      <c r="H146" s="2006">
        <f t="shared" si="9"/>
        <v>0</v>
      </c>
      <c r="I146" s="2021">
        <f t="shared" si="3"/>
        <v>0</v>
      </c>
      <c r="J146" s="2021"/>
      <c r="K146" s="2027"/>
      <c r="L146" s="2024">
        <f t="shared" si="4"/>
        <v>0</v>
      </c>
      <c r="M146" s="2027"/>
      <c r="N146" s="2024">
        <f t="shared" si="5"/>
        <v>0</v>
      </c>
      <c r="O146" s="2024">
        <f t="shared" si="6"/>
        <v>0</v>
      </c>
      <c r="P146" s="1699"/>
    </row>
    <row r="147" spans="1:16">
      <c r="A147" s="916"/>
      <c r="B147" s="1982" t="str">
        <f t="shared" si="10"/>
        <v/>
      </c>
      <c r="C147" s="2018" t="str">
        <f>IF(D98="","-",+C146+1)</f>
        <v>-</v>
      </c>
      <c r="D147" s="2025">
        <f t="shared" si="7"/>
        <v>0</v>
      </c>
      <c r="E147" s="2026">
        <f>IF(+I101&lt;F146,I101,D147)</f>
        <v>0</v>
      </c>
      <c r="F147" s="2025">
        <f t="shared" si="2"/>
        <v>0</v>
      </c>
      <c r="G147" s="2026">
        <f t="shared" si="8"/>
        <v>0</v>
      </c>
      <c r="H147" s="2006">
        <f t="shared" si="9"/>
        <v>0</v>
      </c>
      <c r="I147" s="2021">
        <f t="shared" si="3"/>
        <v>0</v>
      </c>
      <c r="J147" s="2021"/>
      <c r="K147" s="2027"/>
      <c r="L147" s="2024">
        <f t="shared" si="4"/>
        <v>0</v>
      </c>
      <c r="M147" s="2027"/>
      <c r="N147" s="2024">
        <f t="shared" si="5"/>
        <v>0</v>
      </c>
      <c r="O147" s="2024">
        <f t="shared" si="6"/>
        <v>0</v>
      </c>
      <c r="P147" s="1699"/>
    </row>
    <row r="148" spans="1:16">
      <c r="A148" s="916"/>
      <c r="B148" s="1982" t="str">
        <f t="shared" si="10"/>
        <v/>
      </c>
      <c r="C148" s="2018" t="str">
        <f>IF(D98="","-",+C147+1)</f>
        <v>-</v>
      </c>
      <c r="D148" s="2025">
        <f t="shared" si="7"/>
        <v>0</v>
      </c>
      <c r="E148" s="2026">
        <f>IF(+I101&lt;F147,I101,D148)</f>
        <v>0</v>
      </c>
      <c r="F148" s="2025">
        <f t="shared" si="2"/>
        <v>0</v>
      </c>
      <c r="G148" s="2029">
        <f t="shared" si="8"/>
        <v>0</v>
      </c>
      <c r="H148" s="2006">
        <f t="shared" si="9"/>
        <v>0</v>
      </c>
      <c r="I148" s="2021">
        <f t="shared" si="3"/>
        <v>0</v>
      </c>
      <c r="J148" s="2021"/>
      <c r="K148" s="2027"/>
      <c r="L148" s="2024">
        <f t="shared" si="4"/>
        <v>0</v>
      </c>
      <c r="M148" s="2027"/>
      <c r="N148" s="2024">
        <f t="shared" si="5"/>
        <v>0</v>
      </c>
      <c r="O148" s="2024">
        <f t="shared" si="6"/>
        <v>0</v>
      </c>
      <c r="P148" s="1699"/>
    </row>
    <row r="149" spans="1:16">
      <c r="A149" s="916"/>
      <c r="B149" s="1982" t="str">
        <f t="shared" si="10"/>
        <v/>
      </c>
      <c r="C149" s="2018" t="str">
        <f>IF(D98="","-",+C148+1)</f>
        <v>-</v>
      </c>
      <c r="D149" s="2025">
        <f t="shared" si="7"/>
        <v>0</v>
      </c>
      <c r="E149" s="2026">
        <f>IF(+I101&lt;F148,I101,D149)</f>
        <v>0</v>
      </c>
      <c r="F149" s="2025">
        <f t="shared" si="2"/>
        <v>0</v>
      </c>
      <c r="G149" s="2029">
        <f t="shared" si="8"/>
        <v>0</v>
      </c>
      <c r="H149" s="2006">
        <f t="shared" si="9"/>
        <v>0</v>
      </c>
      <c r="I149" s="2021">
        <f t="shared" si="3"/>
        <v>0</v>
      </c>
      <c r="J149" s="2021"/>
      <c r="K149" s="2027"/>
      <c r="L149" s="2024">
        <f t="shared" si="4"/>
        <v>0</v>
      </c>
      <c r="M149" s="2027"/>
      <c r="N149" s="2024">
        <f t="shared" si="5"/>
        <v>0</v>
      </c>
      <c r="O149" s="2024">
        <f t="shared" si="6"/>
        <v>0</v>
      </c>
      <c r="P149" s="1699"/>
    </row>
    <row r="150" spans="1:16">
      <c r="A150" s="916"/>
      <c r="B150" s="1982" t="str">
        <f t="shared" si="10"/>
        <v/>
      </c>
      <c r="C150" s="2018" t="str">
        <f>IF(D98="","-",+C149+1)</f>
        <v>-</v>
      </c>
      <c r="D150" s="2025">
        <f t="shared" si="7"/>
        <v>0</v>
      </c>
      <c r="E150" s="2026">
        <f>IF(+I101&lt;F149,I101,D150)</f>
        <v>0</v>
      </c>
      <c r="F150" s="2025">
        <f t="shared" si="2"/>
        <v>0</v>
      </c>
      <c r="G150" s="2029">
        <f t="shared" si="8"/>
        <v>0</v>
      </c>
      <c r="H150" s="2006">
        <f t="shared" si="9"/>
        <v>0</v>
      </c>
      <c r="I150" s="2021">
        <f t="shared" si="3"/>
        <v>0</v>
      </c>
      <c r="J150" s="2021"/>
      <c r="K150" s="2027"/>
      <c r="L150" s="2024">
        <f t="shared" si="4"/>
        <v>0</v>
      </c>
      <c r="M150" s="2027"/>
      <c r="N150" s="2024">
        <f t="shared" si="5"/>
        <v>0</v>
      </c>
      <c r="O150" s="2024">
        <f t="shared" si="6"/>
        <v>0</v>
      </c>
      <c r="P150" s="1699"/>
    </row>
    <row r="151" spans="1:16">
      <c r="A151" s="916"/>
      <c r="B151" s="1982" t="str">
        <f t="shared" si="10"/>
        <v/>
      </c>
      <c r="C151" s="2018" t="str">
        <f>IF(D98="","-",+C150+1)</f>
        <v>-</v>
      </c>
      <c r="D151" s="2025">
        <f t="shared" si="7"/>
        <v>0</v>
      </c>
      <c r="E151" s="2026">
        <f>IF(+I101&lt;F150,I101,D151)</f>
        <v>0</v>
      </c>
      <c r="F151" s="2025">
        <f t="shared" si="2"/>
        <v>0</v>
      </c>
      <c r="G151" s="2029">
        <f t="shared" si="8"/>
        <v>0</v>
      </c>
      <c r="H151" s="2006">
        <f t="shared" si="9"/>
        <v>0</v>
      </c>
      <c r="I151" s="2021">
        <f t="shared" si="3"/>
        <v>0</v>
      </c>
      <c r="J151" s="2021"/>
      <c r="K151" s="2027"/>
      <c r="L151" s="2024">
        <f t="shared" si="4"/>
        <v>0</v>
      </c>
      <c r="M151" s="2027"/>
      <c r="N151" s="2024">
        <f t="shared" si="5"/>
        <v>0</v>
      </c>
      <c r="O151" s="2024">
        <f t="shared" si="6"/>
        <v>0</v>
      </c>
      <c r="P151" s="1699"/>
    </row>
    <row r="152" spans="1:16">
      <c r="A152" s="916"/>
      <c r="B152" s="1982" t="str">
        <f t="shared" si="10"/>
        <v/>
      </c>
      <c r="C152" s="2018" t="str">
        <f>IF(D98="","-",+C151+1)</f>
        <v>-</v>
      </c>
      <c r="D152" s="2025">
        <f t="shared" si="7"/>
        <v>0</v>
      </c>
      <c r="E152" s="2026">
        <f>IF(+I101&lt;F151,I101,D152)</f>
        <v>0</v>
      </c>
      <c r="F152" s="2025">
        <f t="shared" si="2"/>
        <v>0</v>
      </c>
      <c r="G152" s="2029">
        <f t="shared" si="8"/>
        <v>0</v>
      </c>
      <c r="H152" s="2006">
        <f t="shared" si="9"/>
        <v>0</v>
      </c>
      <c r="I152" s="2021">
        <f t="shared" si="3"/>
        <v>0</v>
      </c>
      <c r="J152" s="2021"/>
      <c r="K152" s="2027"/>
      <c r="L152" s="2024">
        <f t="shared" si="4"/>
        <v>0</v>
      </c>
      <c r="M152" s="2027"/>
      <c r="N152" s="2024">
        <f t="shared" si="5"/>
        <v>0</v>
      </c>
      <c r="O152" s="2024">
        <f t="shared" si="6"/>
        <v>0</v>
      </c>
      <c r="P152" s="1699"/>
    </row>
    <row r="153" spans="1:16">
      <c r="A153" s="916"/>
      <c r="B153" s="1982" t="str">
        <f t="shared" si="10"/>
        <v/>
      </c>
      <c r="C153" s="2018" t="str">
        <f>IF(D98="","-",+C152+1)</f>
        <v>-</v>
      </c>
      <c r="D153" s="2025">
        <f t="shared" si="7"/>
        <v>0</v>
      </c>
      <c r="E153" s="2026">
        <f>IF(+I101&lt;F152,I101,D153)</f>
        <v>0</v>
      </c>
      <c r="F153" s="2025">
        <f t="shared" si="2"/>
        <v>0</v>
      </c>
      <c r="G153" s="2029">
        <f t="shared" si="8"/>
        <v>0</v>
      </c>
      <c r="H153" s="2006">
        <f t="shared" si="9"/>
        <v>0</v>
      </c>
      <c r="I153" s="2021">
        <f t="shared" si="3"/>
        <v>0</v>
      </c>
      <c r="J153" s="2021"/>
      <c r="K153" s="2027"/>
      <c r="L153" s="2024">
        <f t="shared" si="4"/>
        <v>0</v>
      </c>
      <c r="M153" s="2027"/>
      <c r="N153" s="2024">
        <f t="shared" si="5"/>
        <v>0</v>
      </c>
      <c r="O153" s="2024">
        <f t="shared" si="6"/>
        <v>0</v>
      </c>
      <c r="P153" s="1699"/>
    </row>
    <row r="154" spans="1:16">
      <c r="A154" s="916"/>
      <c r="B154" s="1982" t="str">
        <f t="shared" si="10"/>
        <v/>
      </c>
      <c r="C154" s="2018" t="str">
        <f>IF(D98="","-",+C153+1)</f>
        <v>-</v>
      </c>
      <c r="D154" s="2025">
        <f t="shared" si="7"/>
        <v>0</v>
      </c>
      <c r="E154" s="2026">
        <f>IF(+I101&lt;F153,I101,D154)</f>
        <v>0</v>
      </c>
      <c r="F154" s="2025">
        <f t="shared" si="2"/>
        <v>0</v>
      </c>
      <c r="G154" s="2029">
        <f t="shared" si="8"/>
        <v>0</v>
      </c>
      <c r="H154" s="2006">
        <f t="shared" si="9"/>
        <v>0</v>
      </c>
      <c r="I154" s="2021">
        <f t="shared" si="3"/>
        <v>0</v>
      </c>
      <c r="J154" s="2021"/>
      <c r="K154" s="2027"/>
      <c r="L154" s="2024">
        <f t="shared" si="4"/>
        <v>0</v>
      </c>
      <c r="M154" s="2027"/>
      <c r="N154" s="2024">
        <f t="shared" si="5"/>
        <v>0</v>
      </c>
      <c r="O154" s="2024">
        <f t="shared" si="6"/>
        <v>0</v>
      </c>
      <c r="P154" s="1699"/>
    </row>
    <row r="155" spans="1:16">
      <c r="A155" s="916"/>
      <c r="B155" s="1982" t="str">
        <f t="shared" si="10"/>
        <v/>
      </c>
      <c r="C155" s="2018" t="str">
        <f>IF(D98="","-",+C154+1)</f>
        <v>-</v>
      </c>
      <c r="D155" s="2025">
        <f t="shared" si="7"/>
        <v>0</v>
      </c>
      <c r="E155" s="2026">
        <f>IF(+I101&lt;F154,I101,D155)</f>
        <v>0</v>
      </c>
      <c r="F155" s="2025">
        <f t="shared" si="2"/>
        <v>0</v>
      </c>
      <c r="G155" s="2029">
        <f t="shared" si="8"/>
        <v>0</v>
      </c>
      <c r="H155" s="2006">
        <f t="shared" si="9"/>
        <v>0</v>
      </c>
      <c r="I155" s="2021">
        <f t="shared" si="3"/>
        <v>0</v>
      </c>
      <c r="J155" s="2021"/>
      <c r="K155" s="2027"/>
      <c r="L155" s="2024">
        <f t="shared" si="4"/>
        <v>0</v>
      </c>
      <c r="M155" s="2027"/>
      <c r="N155" s="2024">
        <f t="shared" si="5"/>
        <v>0</v>
      </c>
      <c r="O155" s="2024">
        <f t="shared" si="6"/>
        <v>0</v>
      </c>
      <c r="P155" s="1699"/>
    </row>
    <row r="156" spans="1:16">
      <c r="A156" s="916"/>
      <c r="B156" s="1982" t="str">
        <f t="shared" si="10"/>
        <v/>
      </c>
      <c r="C156" s="2018" t="str">
        <f>IF(D98="","-",+C155+1)</f>
        <v>-</v>
      </c>
      <c r="D156" s="2025">
        <f t="shared" si="7"/>
        <v>0</v>
      </c>
      <c r="E156" s="2026">
        <f>IF(+I101&lt;F155,I101,D156)</f>
        <v>0</v>
      </c>
      <c r="F156" s="2025">
        <f t="shared" si="2"/>
        <v>0</v>
      </c>
      <c r="G156" s="2029">
        <f t="shared" si="8"/>
        <v>0</v>
      </c>
      <c r="H156" s="2006">
        <f t="shared" si="9"/>
        <v>0</v>
      </c>
      <c r="I156" s="2021">
        <f t="shared" si="3"/>
        <v>0</v>
      </c>
      <c r="J156" s="2021"/>
      <c r="K156" s="2027"/>
      <c r="L156" s="2024">
        <f t="shared" si="4"/>
        <v>0</v>
      </c>
      <c r="M156" s="2027"/>
      <c r="N156" s="2024">
        <f t="shared" si="5"/>
        <v>0</v>
      </c>
      <c r="O156" s="2024">
        <f t="shared" si="6"/>
        <v>0</v>
      </c>
      <c r="P156" s="1699"/>
    </row>
    <row r="157" spans="1:16">
      <c r="A157" s="916"/>
      <c r="B157" s="1982" t="str">
        <f t="shared" si="10"/>
        <v/>
      </c>
      <c r="C157" s="2018" t="str">
        <f>IF(D98="","-",+C156+1)</f>
        <v>-</v>
      </c>
      <c r="D157" s="2025">
        <f t="shared" si="7"/>
        <v>0</v>
      </c>
      <c r="E157" s="2026">
        <f>IF(+I101&lt;F156,I101,D157)</f>
        <v>0</v>
      </c>
      <c r="F157" s="2025">
        <f t="shared" si="2"/>
        <v>0</v>
      </c>
      <c r="G157" s="2029">
        <f t="shared" si="8"/>
        <v>0</v>
      </c>
      <c r="H157" s="2006">
        <f t="shared" si="9"/>
        <v>0</v>
      </c>
      <c r="I157" s="2021">
        <f t="shared" si="3"/>
        <v>0</v>
      </c>
      <c r="J157" s="2021"/>
      <c r="K157" s="2027"/>
      <c r="L157" s="2024">
        <f t="shared" si="4"/>
        <v>0</v>
      </c>
      <c r="M157" s="2027"/>
      <c r="N157" s="2024">
        <f t="shared" si="5"/>
        <v>0</v>
      </c>
      <c r="O157" s="2024">
        <f t="shared" si="6"/>
        <v>0</v>
      </c>
      <c r="P157" s="1699"/>
    </row>
    <row r="158" spans="1:16">
      <c r="A158" s="916"/>
      <c r="B158" s="1982" t="str">
        <f t="shared" si="10"/>
        <v/>
      </c>
      <c r="C158" s="2018" t="str">
        <f>IF(D98="","-",+C157+1)</f>
        <v>-</v>
      </c>
      <c r="D158" s="2025">
        <f t="shared" si="7"/>
        <v>0</v>
      </c>
      <c r="E158" s="2026">
        <f>IF(+I101&lt;F157,I101,D158)</f>
        <v>0</v>
      </c>
      <c r="F158" s="2025">
        <f t="shared" si="2"/>
        <v>0</v>
      </c>
      <c r="G158" s="2029">
        <f t="shared" si="8"/>
        <v>0</v>
      </c>
      <c r="H158" s="2006">
        <f t="shared" si="9"/>
        <v>0</v>
      </c>
      <c r="I158" s="2021">
        <f t="shared" si="3"/>
        <v>0</v>
      </c>
      <c r="J158" s="2021"/>
      <c r="K158" s="2027"/>
      <c r="L158" s="2024">
        <f t="shared" si="4"/>
        <v>0</v>
      </c>
      <c r="M158" s="2027"/>
      <c r="N158" s="2024">
        <f t="shared" si="5"/>
        <v>0</v>
      </c>
      <c r="O158" s="2024">
        <f t="shared" si="6"/>
        <v>0</v>
      </c>
      <c r="P158" s="1699"/>
    </row>
    <row r="159" spans="1:16" ht="13.5" thickBot="1">
      <c r="A159" s="916"/>
      <c r="B159" s="1982" t="str">
        <f t="shared" si="10"/>
        <v/>
      </c>
      <c r="C159" s="2030" t="str">
        <f>IF(D98="","-",+C158+1)</f>
        <v>-</v>
      </c>
      <c r="D159" s="2031">
        <f t="shared" si="7"/>
        <v>0</v>
      </c>
      <c r="E159" s="2032">
        <f>IF(+I101&lt;F158,I101,D159)</f>
        <v>0</v>
      </c>
      <c r="F159" s="2031">
        <f t="shared" si="2"/>
        <v>0</v>
      </c>
      <c r="G159" s="2033">
        <f t="shared" si="8"/>
        <v>0</v>
      </c>
      <c r="H159" s="1995">
        <f t="shared" si="9"/>
        <v>0</v>
      </c>
      <c r="I159" s="2034">
        <f t="shared" si="3"/>
        <v>0</v>
      </c>
      <c r="J159" s="2021"/>
      <c r="K159" s="2035"/>
      <c r="L159" s="2036">
        <f t="shared" si="4"/>
        <v>0</v>
      </c>
      <c r="M159" s="2035"/>
      <c r="N159" s="2036">
        <f t="shared" si="5"/>
        <v>0</v>
      </c>
      <c r="O159" s="2036">
        <f t="shared" si="6"/>
        <v>0</v>
      </c>
      <c r="P159" s="1699"/>
    </row>
    <row r="160" spans="1:16">
      <c r="A160" s="916"/>
      <c r="B160" s="916"/>
      <c r="C160" s="2019" t="s">
        <v>478</v>
      </c>
      <c r="D160" s="1985"/>
      <c r="E160" s="1985">
        <f>SUM(E104:E159)</f>
        <v>0</v>
      </c>
      <c r="F160" s="1985"/>
      <c r="G160" s="1985">
        <f>SUM(G104:G159)</f>
        <v>0</v>
      </c>
      <c r="H160" s="1985">
        <f>SUM(H104:H159)</f>
        <v>0</v>
      </c>
      <c r="I160" s="1985">
        <f>SUM(I104:I159)</f>
        <v>0</v>
      </c>
      <c r="J160" s="1985"/>
      <c r="K160" s="1985"/>
      <c r="L160" s="1985"/>
      <c r="M160" s="1985"/>
      <c r="N160" s="1985"/>
      <c r="O160" s="1699"/>
      <c r="P160" s="1699"/>
    </row>
    <row r="161" spans="1:16">
      <c r="A161" s="916"/>
      <c r="B161" s="916"/>
      <c r="C161" s="916"/>
      <c r="D161" s="1982"/>
      <c r="E161" s="916"/>
      <c r="F161" s="916"/>
      <c r="G161" s="916"/>
      <c r="H161" s="1984"/>
      <c r="I161" s="1984"/>
      <c r="J161" s="1985"/>
      <c r="K161" s="1984"/>
      <c r="L161" s="1984"/>
      <c r="M161" s="1984"/>
      <c r="N161" s="1984"/>
      <c r="O161" s="916"/>
      <c r="P161" s="916"/>
    </row>
    <row r="162" spans="1:16">
      <c r="A162" s="916"/>
      <c r="B162" s="916"/>
      <c r="C162" s="1077" t="s">
        <v>893</v>
      </c>
      <c r="D162" s="1982"/>
      <c r="E162" s="916"/>
      <c r="F162" s="916"/>
      <c r="G162" s="916"/>
      <c r="H162" s="1984"/>
      <c r="I162" s="1984"/>
      <c r="J162" s="1985"/>
      <c r="K162" s="1984"/>
      <c r="L162" s="1984"/>
      <c r="M162" s="1984"/>
      <c r="N162" s="1984"/>
      <c r="O162" s="916"/>
      <c r="P162" s="916"/>
    </row>
    <row r="163" spans="1:16">
      <c r="A163" s="916"/>
      <c r="B163" s="916"/>
      <c r="C163" s="1077" t="s">
        <v>479</v>
      </c>
      <c r="D163" s="1982"/>
      <c r="E163" s="916"/>
      <c r="F163" s="916"/>
      <c r="G163" s="916"/>
      <c r="H163" s="1984"/>
      <c r="I163" s="1984"/>
      <c r="J163" s="1985"/>
      <c r="K163" s="1984"/>
      <c r="L163" s="1984"/>
      <c r="M163" s="1984"/>
      <c r="N163" s="1984"/>
      <c r="O163" s="1699"/>
      <c r="P163" s="1699"/>
    </row>
    <row r="164" spans="1:16">
      <c r="A164" s="916"/>
      <c r="B164" s="916"/>
      <c r="C164" s="1077" t="s">
        <v>480</v>
      </c>
      <c r="D164" s="2019"/>
      <c r="E164" s="2019"/>
      <c r="F164" s="2019"/>
      <c r="G164" s="1985"/>
      <c r="H164" s="1985"/>
      <c r="I164" s="2037"/>
      <c r="J164" s="2037"/>
      <c r="K164" s="2037"/>
      <c r="L164" s="2037"/>
      <c r="M164" s="2037"/>
      <c r="N164" s="2037"/>
      <c r="O164" s="1699"/>
      <c r="P164" s="1699"/>
    </row>
    <row r="165" spans="1:16">
      <c r="A165" s="916"/>
      <c r="B165" s="916"/>
      <c r="C165" s="1077"/>
      <c r="D165" s="2019"/>
      <c r="E165" s="2019"/>
      <c r="F165" s="2019"/>
      <c r="G165" s="1985"/>
      <c r="H165" s="1985"/>
      <c r="I165" s="2037"/>
      <c r="J165" s="2037"/>
      <c r="K165" s="2037"/>
      <c r="L165" s="2037"/>
      <c r="M165" s="2037"/>
      <c r="N165" s="2037"/>
      <c r="O165" s="1699"/>
      <c r="P165" s="916"/>
    </row>
    <row r="166" spans="1:16">
      <c r="A166" s="916"/>
      <c r="B166" s="916"/>
      <c r="C166" s="779"/>
      <c r="D166" s="1982"/>
      <c r="E166" s="916"/>
      <c r="F166" s="2038"/>
      <c r="G166" s="916"/>
      <c r="H166" s="1984"/>
      <c r="I166" s="916"/>
      <c r="J166" s="1699"/>
      <c r="K166" s="916"/>
      <c r="L166" s="916"/>
      <c r="M166" s="916"/>
      <c r="N166" s="916"/>
      <c r="O166" s="916"/>
      <c r="P166" s="916"/>
    </row>
    <row r="167" spans="1:16" ht="18">
      <c r="A167" s="916"/>
      <c r="B167" s="916"/>
      <c r="C167" s="2039"/>
      <c r="D167" s="1982"/>
      <c r="E167" s="916"/>
      <c r="F167" s="2038"/>
      <c r="G167" s="916"/>
      <c r="H167" s="1984"/>
      <c r="I167" s="916"/>
      <c r="J167" s="1699"/>
      <c r="K167" s="916"/>
      <c r="L167" s="916"/>
      <c r="M167" s="916"/>
      <c r="N167" s="916"/>
      <c r="O167" s="916"/>
      <c r="P167" s="1476"/>
    </row>
    <row r="168" spans="1:16">
      <c r="P168" s="791"/>
    </row>
    <row r="169" spans="1:16">
      <c r="P169" s="791"/>
    </row>
    <row r="170" spans="1:16">
      <c r="P170" s="791"/>
    </row>
    <row r="171" spans="1:16">
      <c r="P171" s="791"/>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opLeftCell="A91" zoomScale="70" zoomScaleNormal="70" zoomScaleSheetLayoutView="75" workbookViewId="0">
      <selection activeCell="M122" sqref="M122"/>
    </sheetView>
  </sheetViews>
  <sheetFormatPr defaultColWidth="8.85546875" defaultRowHeight="12.75"/>
  <cols>
    <col min="1" max="1" width="9.28515625" style="791" customWidth="1"/>
    <col min="2" max="2" width="6.7109375" style="791" customWidth="1"/>
    <col min="3" max="3" width="26.5703125" style="791" customWidth="1"/>
    <col min="4" max="4" width="17.7109375" style="846" customWidth="1"/>
    <col min="5" max="5" width="21.7109375" style="791" customWidth="1"/>
    <col min="6" max="8" width="17.7109375" style="791" customWidth="1"/>
    <col min="9" max="9" width="19.5703125" style="1794" customWidth="1"/>
    <col min="10" max="10" width="20.28515625" style="1794" customWidth="1"/>
    <col min="11" max="11" width="13.5703125" style="1794" customWidth="1"/>
    <col min="12" max="13" width="17.7109375" style="791" customWidth="1"/>
    <col min="14" max="14" width="19.28515625" style="791" customWidth="1"/>
    <col min="15" max="15" width="18.42578125" style="791" customWidth="1"/>
    <col min="16" max="16" width="19.5703125" style="791" customWidth="1"/>
    <col min="17" max="17" width="2.140625" style="779" customWidth="1"/>
    <col min="18" max="18" width="16.42578125" style="779" customWidth="1"/>
    <col min="19" max="19" width="57.85546875" style="791" bestFit="1" customWidth="1"/>
    <col min="20" max="20" width="17.140625" style="791" customWidth="1"/>
    <col min="21" max="16384" width="8.85546875" style="791"/>
  </cols>
  <sheetData>
    <row r="1" spans="1:21" ht="15">
      <c r="A1" s="1050"/>
    </row>
    <row r="2" spans="1:21" ht="18">
      <c r="A2" s="2561" t="str">
        <f>'SWEPCO TCOS'!F4</f>
        <v xml:space="preserve">AEP West SPP Member Operating Companies </v>
      </c>
      <c r="B2" s="2561"/>
      <c r="C2" s="2561"/>
      <c r="D2" s="2561"/>
      <c r="E2" s="2561"/>
      <c r="F2" s="2561"/>
      <c r="G2" s="2561"/>
      <c r="H2" s="2561"/>
      <c r="I2" s="2561"/>
      <c r="J2" s="1477"/>
      <c r="K2" s="1477"/>
    </row>
    <row r="3" spans="1:21" ht="18">
      <c r="A3" s="2566" t="str">
        <f>+'SWEPCO WS A-1 - Plant'!A3</f>
        <v xml:space="preserve">Actual / Projected 2018 Rate Year Cost of Service Formula Rate </v>
      </c>
      <c r="B3" s="2561"/>
      <c r="C3" s="2561"/>
      <c r="D3" s="2561"/>
      <c r="E3" s="2561"/>
      <c r="F3" s="2561"/>
      <c r="G3" s="2561"/>
      <c r="H3" s="2561"/>
      <c r="I3" s="2561"/>
      <c r="J3" s="2040"/>
      <c r="K3" s="2040"/>
    </row>
    <row r="4" spans="1:21" ht="18">
      <c r="A4" s="2561" t="s">
        <v>895</v>
      </c>
      <c r="B4" s="2561"/>
      <c r="C4" s="2561"/>
      <c r="D4" s="2561"/>
      <c r="E4" s="2561"/>
      <c r="F4" s="2561"/>
      <c r="G4" s="2561"/>
      <c r="H4" s="2561"/>
      <c r="I4" s="2561"/>
      <c r="J4" s="2040"/>
      <c r="K4" s="2040"/>
    </row>
    <row r="5" spans="1:21" ht="18">
      <c r="A5" s="2486" t="str">
        <f>+'SWEPCO TCOS'!F8</f>
        <v>SOUTHWESTERN ELECTRIC POWER COMPANY</v>
      </c>
      <c r="B5" s="2486"/>
      <c r="C5" s="2486"/>
      <c r="D5" s="2486"/>
      <c r="E5" s="2486"/>
      <c r="F5" s="2486"/>
      <c r="G5" s="2486"/>
      <c r="H5" s="2486"/>
      <c r="I5" s="2486"/>
      <c r="J5" s="1479"/>
      <c r="K5" s="1479"/>
    </row>
    <row r="7" spans="1:21" ht="35.25" customHeight="1">
      <c r="A7" s="1902" t="s">
        <v>310</v>
      </c>
      <c r="B7" s="1279" t="s">
        <v>312</v>
      </c>
      <c r="C7" s="2487" t="str">
        <f>"Calculate Return and Income Taxes with "&amp;F12&amp;" basis point ROE increase for Projects Qualified for Incentive."</f>
        <v>Calculate Return and Income Taxes with 0 basis point ROE increase for Projects Qualified for Incentive.</v>
      </c>
      <c r="D7" s="2562"/>
      <c r="E7" s="2562"/>
      <c r="F7" s="2562"/>
      <c r="G7" s="2562"/>
      <c r="H7" s="2562"/>
      <c r="I7" s="2562"/>
      <c r="J7" s="856"/>
      <c r="K7" s="856"/>
      <c r="L7" s="2563" t="s">
        <v>432</v>
      </c>
      <c r="M7" s="2563"/>
      <c r="N7" s="2563"/>
      <c r="O7" s="2563"/>
      <c r="P7" s="2563"/>
      <c r="R7" s="1276" t="s">
        <v>501</v>
      </c>
    </row>
    <row r="8" spans="1:21" ht="15.75" customHeight="1">
      <c r="A8" s="1902" t="s">
        <v>248</v>
      </c>
      <c r="C8" s="856"/>
      <c r="D8" s="856"/>
      <c r="E8" s="856"/>
      <c r="F8" s="856"/>
      <c r="G8" s="856"/>
      <c r="H8" s="856"/>
      <c r="I8" s="856"/>
      <c r="J8" s="856"/>
      <c r="K8" s="856"/>
      <c r="L8" s="2563"/>
      <c r="M8" s="2563"/>
      <c r="N8" s="2563"/>
      <c r="O8" s="2563"/>
      <c r="P8" s="2563"/>
    </row>
    <row r="9" spans="1:21" ht="15.75">
      <c r="C9" s="1281" t="str">
        <f>"A.   Determine 'R' with hypothetical "&amp;F12&amp;" basis point increase in ROE for Identified Projects"</f>
        <v>A.   Determine 'R' with hypothetical 0 basis point increase in ROE for Identified Projects</v>
      </c>
      <c r="L9" s="2563"/>
      <c r="M9" s="2563"/>
      <c r="N9" s="2563"/>
      <c r="O9" s="2563"/>
      <c r="P9" s="2563"/>
      <c r="R9" s="791"/>
      <c r="S9" s="791" t="s">
        <v>168</v>
      </c>
    </row>
    <row r="10" spans="1:21" ht="18" customHeight="1">
      <c r="L10" s="2563"/>
      <c r="M10" s="2563"/>
      <c r="N10" s="2563"/>
      <c r="O10" s="2563"/>
      <c r="P10" s="2563"/>
      <c r="R10" s="1282" t="s">
        <v>162</v>
      </c>
      <c r="S10" s="1276" t="s">
        <v>341</v>
      </c>
    </row>
    <row r="11" spans="1:21" ht="13.5" thickBot="1">
      <c r="A11" s="846">
        <v>1</v>
      </c>
      <c r="C11" s="359" t="str">
        <f>"   ROE w/o incentives  (TCOS, ln "&amp;'SWEPCO TCOS'!B237&amp;")"</f>
        <v xml:space="preserve">   ROE w/o incentives  (TCOS, ln 143)</v>
      </c>
      <c r="E11" s="1903"/>
      <c r="F11" s="1904">
        <f>+'SWEPCO TCOS'!J237</f>
        <v>0.105</v>
      </c>
      <c r="G11" s="1904"/>
      <c r="H11" s="1905"/>
      <c r="I11" s="1906"/>
      <c r="J11" s="1906"/>
      <c r="K11" s="1906"/>
      <c r="L11" s="856"/>
      <c r="M11" s="856"/>
      <c r="N11" s="856"/>
      <c r="O11" s="856"/>
      <c r="P11" s="856"/>
      <c r="Q11" s="1907"/>
      <c r="R11" s="1276" t="s">
        <v>435</v>
      </c>
      <c r="T11" s="1290"/>
    </row>
    <row r="12" spans="1:21" ht="14.25">
      <c r="A12" s="846">
        <f>+A11+1</f>
        <v>2</v>
      </c>
      <c r="C12" s="359" t="s">
        <v>150</v>
      </c>
      <c r="E12" s="1903"/>
      <c r="F12" s="1291">
        <v>0</v>
      </c>
      <c r="G12" s="1910" t="s">
        <v>340</v>
      </c>
      <c r="I12" s="791"/>
      <c r="J12" s="791"/>
      <c r="K12" s="791"/>
      <c r="L12" s="1914"/>
      <c r="M12" s="1914"/>
      <c r="N12" s="1914"/>
      <c r="O12" s="1914"/>
      <c r="P12" s="1914"/>
      <c r="Q12" s="1907"/>
      <c r="R12" s="1908" t="s">
        <v>499</v>
      </c>
      <c r="S12" s="1909" t="s">
        <v>88</v>
      </c>
      <c r="T12" s="700"/>
    </row>
    <row r="13" spans="1:21" ht="13.5" thickBot="1">
      <c r="A13" s="846">
        <f>+A12+1</f>
        <v>3</v>
      </c>
      <c r="C13" s="359" t="str">
        <f>"   ROE with additional "&amp;F12&amp;" basis point incentive"</f>
        <v xml:space="preserve">   ROE with additional 0 basis point incentive</v>
      </c>
      <c r="D13" s="1903"/>
      <c r="E13" s="1903"/>
      <c r="F13" s="1913">
        <f>IF((F11+(F12/10000)&gt;0.1245),"ERROR",F11+(F12/10000))</f>
        <v>0.105</v>
      </c>
      <c r="G13" s="1296" t="s">
        <v>894</v>
      </c>
      <c r="I13" s="1914"/>
      <c r="J13" s="1914"/>
      <c r="K13" s="1914"/>
      <c r="Q13" s="1907"/>
      <c r="R13" s="1911">
        <v>2018</v>
      </c>
      <c r="S13" s="1912" t="s">
        <v>128</v>
      </c>
      <c r="T13" s="700"/>
      <c r="U13" s="779"/>
    </row>
    <row r="14" spans="1:21">
      <c r="A14" s="846">
        <f t="shared" ref="A14:A46" si="0">+A13+1</f>
        <v>4</v>
      </c>
      <c r="C14" s="1916"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903"/>
      <c r="F14" s="1913"/>
      <c r="G14" s="1913"/>
      <c r="H14" s="1903"/>
      <c r="I14" s="1914"/>
      <c r="J14" s="1914"/>
      <c r="K14" s="1914"/>
      <c r="L14" s="2488" t="s">
        <v>387</v>
      </c>
      <c r="M14" s="2489"/>
      <c r="N14" s="2489"/>
      <c r="O14" s="2489"/>
      <c r="P14" s="2490"/>
      <c r="Q14" s="1907"/>
      <c r="R14" s="2041">
        <f>+'SWEPCO TCOS'!J237</f>
        <v>0.105</v>
      </c>
      <c r="S14" s="1912" t="str">
        <f>+C11</f>
        <v xml:space="preserve">   ROE w/o incentives  (TCOS, ln 143)</v>
      </c>
      <c r="T14" s="700"/>
      <c r="U14" s="779"/>
    </row>
    <row r="15" spans="1:21" ht="16.5" customHeight="1">
      <c r="A15" s="846">
        <f t="shared" si="0"/>
        <v>5</v>
      </c>
      <c r="C15" s="1907"/>
      <c r="D15" s="1302" t="s">
        <v>287</v>
      </c>
      <c r="E15" s="1302" t="s">
        <v>286</v>
      </c>
      <c r="F15" s="1303" t="s">
        <v>372</v>
      </c>
      <c r="G15" s="1303"/>
      <c r="H15" s="1903"/>
      <c r="I15" s="1914"/>
      <c r="J15" s="1914"/>
      <c r="K15" s="1914"/>
      <c r="L15" s="2491"/>
      <c r="M15" s="2492"/>
      <c r="N15" s="2492"/>
      <c r="O15" s="2492"/>
      <c r="P15" s="2493"/>
      <c r="Q15" s="1907"/>
      <c r="R15" s="1917">
        <v>0</v>
      </c>
      <c r="S15" s="1912" t="str">
        <f>+C12</f>
        <v xml:space="preserve">   Project ROE Incentive Adder (Enter as whole number)</v>
      </c>
      <c r="T15" s="700"/>
      <c r="U15" s="779"/>
    </row>
    <row r="16" spans="1:21">
      <c r="A16" s="846">
        <f t="shared" si="0"/>
        <v>6</v>
      </c>
      <c r="C16" s="1920" t="s">
        <v>375</v>
      </c>
      <c r="D16" s="1921">
        <f>'SWEPCO TCOS'!G235</f>
        <v>0.52637758415886271</v>
      </c>
      <c r="E16" s="1922">
        <f>+'SWEPCO TCOS'!J235</f>
        <v>4.6226794190279752E-2</v>
      </c>
      <c r="F16" s="1923">
        <f>E16*D16</f>
        <v>2.4332748249288407E-2</v>
      </c>
      <c r="G16" s="1924"/>
      <c r="H16" s="1903"/>
      <c r="I16" s="1914"/>
      <c r="J16" s="1914"/>
      <c r="K16" s="1914"/>
      <c r="L16" s="1930"/>
      <c r="M16" s="1907"/>
      <c r="N16" s="1907" t="s">
        <v>373</v>
      </c>
      <c r="O16" s="1907" t="s">
        <v>434</v>
      </c>
      <c r="P16" s="1931" t="s">
        <v>374</v>
      </c>
      <c r="Q16" s="1928"/>
      <c r="R16" s="2041">
        <f>+D16</f>
        <v>0.52637758415886271</v>
      </c>
      <c r="S16" s="1919" t="str">
        <f>+C16&amp;" "&amp;D15</f>
        <v>Long Term Debt %</v>
      </c>
      <c r="T16" s="700"/>
      <c r="U16" s="779"/>
    </row>
    <row r="17" spans="1:21">
      <c r="A17" s="846">
        <f t="shared" si="0"/>
        <v>7</v>
      </c>
      <c r="C17" s="1920" t="s">
        <v>376</v>
      </c>
      <c r="D17" s="1921">
        <f>'SWEPCO TCOS'!G236</f>
        <v>0</v>
      </c>
      <c r="E17" s="1922">
        <f>+'SWEPCO TCOS'!J236</f>
        <v>0</v>
      </c>
      <c r="F17" s="1923">
        <f>E17*D17</f>
        <v>0</v>
      </c>
      <c r="G17" s="1924"/>
      <c r="H17" s="1929"/>
      <c r="I17" s="1929"/>
      <c r="J17" s="1929"/>
      <c r="K17" s="1929"/>
      <c r="L17" s="1930" t="s">
        <v>427</v>
      </c>
      <c r="M17" s="2042">
        <v>2018</v>
      </c>
      <c r="N17" s="779"/>
      <c r="O17" s="779"/>
      <c r="P17" s="1912"/>
      <c r="Q17" s="1932"/>
      <c r="R17" s="2043">
        <f>+E16</f>
        <v>4.6226794190279752E-2</v>
      </c>
      <c r="S17" s="1919" t="str">
        <f>C16&amp;" "&amp;E15</f>
        <v>Long Term Debt Cost</v>
      </c>
      <c r="T17" s="700"/>
      <c r="U17" s="779"/>
    </row>
    <row r="18" spans="1:21">
      <c r="A18" s="846">
        <f t="shared" si="0"/>
        <v>8</v>
      </c>
      <c r="C18" s="1920" t="s">
        <v>368</v>
      </c>
      <c r="D18" s="1921">
        <f>'SWEPCO TCOS'!G237</f>
        <v>0.47362241584113723</v>
      </c>
      <c r="E18" s="1922">
        <f>+F13</f>
        <v>0.105</v>
      </c>
      <c r="F18" s="1323">
        <f>E18*D18</f>
        <v>4.9730353663319404E-2</v>
      </c>
      <c r="G18" s="1324"/>
      <c r="H18" s="1929"/>
      <c r="I18" s="1929"/>
      <c r="J18" s="1929"/>
      <c r="K18" s="1929"/>
      <c r="L18" s="2044" t="s">
        <v>428</v>
      </c>
      <c r="M18" s="2045"/>
      <c r="N18" s="1486">
        <f>+R46</f>
        <v>94420138.109302804</v>
      </c>
      <c r="O18" s="1486">
        <f>+R47</f>
        <v>94420138.109302804</v>
      </c>
      <c r="P18" s="1487">
        <f>+O18-N18</f>
        <v>0</v>
      </c>
      <c r="Q18" s="1932"/>
      <c r="R18" s="2041">
        <f>+D17</f>
        <v>0</v>
      </c>
      <c r="S18" s="1919" t="str">
        <f>C17&amp;" "&amp;D15</f>
        <v>Preferred Stock %</v>
      </c>
      <c r="T18" s="700"/>
      <c r="U18" s="779"/>
    </row>
    <row r="19" spans="1:21">
      <c r="A19" s="846">
        <f t="shared" si="0"/>
        <v>9</v>
      </c>
      <c r="C19" s="359"/>
      <c r="D19" s="1903"/>
      <c r="E19" s="1934" t="s">
        <v>377</v>
      </c>
      <c r="F19" s="1923">
        <f>SUM(F16:F18)</f>
        <v>7.4063101912607815E-2</v>
      </c>
      <c r="G19" s="1924"/>
      <c r="H19" s="1935"/>
      <c r="I19" s="1929"/>
      <c r="J19" s="1929"/>
      <c r="K19" s="1929"/>
      <c r="L19" s="2046" t="s">
        <v>433</v>
      </c>
      <c r="M19" s="2047"/>
      <c r="N19" s="1486">
        <f>+R48</f>
        <v>81604435.927274346</v>
      </c>
      <c r="O19" s="1486">
        <f>+R49</f>
        <v>81604435.927274346</v>
      </c>
      <c r="P19" s="1487">
        <f>+O19-N19</f>
        <v>0</v>
      </c>
      <c r="Q19" s="1932"/>
      <c r="R19" s="2043">
        <f>+E17</f>
        <v>0</v>
      </c>
      <c r="S19" s="1919" t="str">
        <f>C17&amp;" "&amp;E15</f>
        <v>Preferred Stock Cost</v>
      </c>
      <c r="T19" s="700"/>
      <c r="U19" s="779"/>
    </row>
    <row r="20" spans="1:21" ht="13.5" thickBot="1">
      <c r="A20" s="846"/>
      <c r="D20" s="1941"/>
      <c r="E20" s="1941"/>
      <c r="F20" s="1929"/>
      <c r="G20" s="1929"/>
      <c r="H20" s="1929"/>
      <c r="I20" s="1929"/>
      <c r="J20" s="1929"/>
      <c r="K20" s="1929"/>
      <c r="L20" s="2048" t="str">
        <f>"True-up Adjustment For "&amp;M17&amp;""</f>
        <v>True-up Adjustment For 2018</v>
      </c>
      <c r="M20" s="2049"/>
      <c r="N20" s="2050">
        <f>+N19-N18</f>
        <v>-12815702.182028458</v>
      </c>
      <c r="O20" s="2050">
        <f>+O19-O18</f>
        <v>-12815702.182028458</v>
      </c>
      <c r="P20" s="2051">
        <f>+P19-P18</f>
        <v>0</v>
      </c>
      <c r="Q20" s="1942"/>
      <c r="R20" s="2041">
        <f>+D18</f>
        <v>0.47362241584113723</v>
      </c>
      <c r="S20" s="1940" t="str">
        <f>C18&amp;" "&amp;D15</f>
        <v>Common Stock %</v>
      </c>
      <c r="T20" s="700"/>
      <c r="U20" s="779"/>
    </row>
    <row r="21" spans="1:21" ht="15.75">
      <c r="A21" s="846"/>
      <c r="C21" s="1281" t="str">
        <f>"B.   Determine Return using 'R' with hypothetical "&amp;F12&amp;" basis point ROE increase for Identified Projects."</f>
        <v>B.   Determine Return using 'R' with hypothetical 0 basis point ROE increase for Identified Projects.</v>
      </c>
      <c r="D21" s="1941"/>
      <c r="E21" s="1941"/>
      <c r="F21" s="1929"/>
      <c r="G21" s="1929"/>
      <c r="H21" s="1929"/>
      <c r="I21" s="1903"/>
      <c r="J21" s="1903"/>
      <c r="K21" s="1903"/>
      <c r="L21" s="1928"/>
      <c r="M21" s="336"/>
      <c r="N21" s="2052"/>
      <c r="O21" s="2052"/>
      <c r="P21" s="2053"/>
      <c r="Q21" s="1942"/>
      <c r="R21" s="1946">
        <f>+E23</f>
        <v>957663013.00558138</v>
      </c>
      <c r="S21" s="1944" t="str">
        <f>C23</f>
        <v xml:space="preserve">   Rate Base  (TCOS, ln 63)</v>
      </c>
      <c r="T21" s="700"/>
      <c r="U21" s="779"/>
    </row>
    <row r="22" spans="1:21">
      <c r="A22" s="846"/>
      <c r="C22" s="1907"/>
      <c r="D22" s="1941"/>
      <c r="E22" s="1941"/>
      <c r="F22" s="1942"/>
      <c r="G22" s="1942"/>
      <c r="H22" s="1942"/>
      <c r="I22" s="1942"/>
      <c r="J22" s="1942"/>
      <c r="K22" s="1942"/>
      <c r="L22" s="1929"/>
      <c r="M22" s="1929"/>
      <c r="N22" s="1929"/>
      <c r="O22" s="1929"/>
      <c r="P22" s="1929"/>
      <c r="Q22" s="1942"/>
      <c r="R22" s="1945">
        <f>+F30</f>
        <v>0.24697199999999997</v>
      </c>
      <c r="S22" s="1912" t="str">
        <f>+C30</f>
        <v xml:space="preserve">   Tax Rate  (TCOS, ln 99)</v>
      </c>
      <c r="T22" s="700"/>
      <c r="U22" s="779"/>
    </row>
    <row r="23" spans="1:21">
      <c r="A23" s="846">
        <f>+A19+1</f>
        <v>10</v>
      </c>
      <c r="C23" s="359" t="str">
        <f>"   Rate Base  (TCOS, ln "&amp;'SWEPCO TCOS'!B113&amp;")"</f>
        <v xml:space="preserve">   Rate Base  (TCOS, ln 63)</v>
      </c>
      <c r="D23" s="1903"/>
      <c r="E23" s="1947">
        <f>+'SWEPCO TCOS'!L113</f>
        <v>957663013.00558138</v>
      </c>
      <c r="F23" s="1948"/>
      <c r="G23" s="1948"/>
      <c r="H23" s="1942"/>
      <c r="I23" s="1942"/>
      <c r="J23" s="1942"/>
      <c r="K23" s="1942"/>
      <c r="L23" s="1077"/>
      <c r="M23" s="1942"/>
      <c r="N23" s="1942"/>
      <c r="O23" s="1942"/>
      <c r="P23" s="1942"/>
      <c r="Q23" s="1942"/>
      <c r="R23" s="1946">
        <f>+F33</f>
        <v>-362683.52887335472</v>
      </c>
      <c r="S23" s="1912" t="str">
        <f>+C33</f>
        <v xml:space="preserve">   ITC Adjustment  (TCOS, ln 108)</v>
      </c>
      <c r="T23" s="700"/>
      <c r="U23" s="779"/>
    </row>
    <row r="24" spans="1:21">
      <c r="A24" s="846">
        <f t="shared" si="0"/>
        <v>11</v>
      </c>
      <c r="C24" s="1907" t="s">
        <v>346</v>
      </c>
      <c r="D24" s="1905"/>
      <c r="E24" s="1949">
        <f>F19</f>
        <v>7.4063101912607815E-2</v>
      </c>
      <c r="F24" s="1942"/>
      <c r="G24" s="1942"/>
      <c r="H24" s="1942"/>
      <c r="I24" s="1942"/>
      <c r="J24" s="1942"/>
      <c r="K24" s="1942"/>
      <c r="M24" s="1942"/>
      <c r="N24" s="1942"/>
      <c r="O24" s="1942"/>
      <c r="P24" s="1948"/>
      <c r="Q24" s="1942"/>
      <c r="R24" s="1946">
        <f>+F34</f>
        <v>-4665638.9935035612</v>
      </c>
      <c r="S24" s="1912" t="str">
        <f>+C34</f>
        <v xml:space="preserve">   Excess DFIT Adjustment  (TCOS, ln 109)</v>
      </c>
      <c r="T24" s="700"/>
      <c r="U24" s="779"/>
    </row>
    <row r="25" spans="1:21">
      <c r="A25" s="846">
        <f t="shared" si="0"/>
        <v>12</v>
      </c>
      <c r="C25" s="1950" t="s">
        <v>378</v>
      </c>
      <c r="D25" s="1950"/>
      <c r="E25" s="1951">
        <f>E23*E24</f>
        <v>70927493.330167443</v>
      </c>
      <c r="F25" s="1942"/>
      <c r="G25" s="1942"/>
      <c r="H25" s="1942"/>
      <c r="I25" s="1942"/>
      <c r="J25" s="1942"/>
      <c r="K25" s="1942"/>
      <c r="L25" s="1932"/>
      <c r="M25" s="1932"/>
      <c r="N25" s="1932"/>
      <c r="O25" s="1932"/>
      <c r="P25" s="1942"/>
      <c r="Q25" s="1932"/>
      <c r="R25" s="1946">
        <f>+F35</f>
        <v>357516.58636863431</v>
      </c>
      <c r="S25" s="1912" t="str">
        <f>+C35</f>
        <v xml:space="preserve">   Tax Effect of Permanent and Flow Through Differences (TCOS, ln 110)</v>
      </c>
      <c r="T25" s="700"/>
      <c r="U25" s="779"/>
    </row>
    <row r="26" spans="1:21">
      <c r="A26" s="846"/>
      <c r="C26" s="1950"/>
      <c r="D26" s="1914"/>
      <c r="E26" s="1914"/>
      <c r="F26" s="1942"/>
      <c r="G26" s="1942"/>
      <c r="H26" s="1942"/>
      <c r="I26" s="1942"/>
      <c r="J26" s="1942"/>
      <c r="K26" s="1942"/>
      <c r="Q26" s="1932"/>
      <c r="R26" s="1946">
        <f>+F42</f>
        <v>167607353.40002003</v>
      </c>
      <c r="S26" s="1912" t="str">
        <f>+C42</f>
        <v xml:space="preserve">   Net Revenue Requirement  (TCOS, ln 117)</v>
      </c>
      <c r="T26" s="700"/>
      <c r="U26" s="779"/>
    </row>
    <row r="27" spans="1:21" ht="15.75">
      <c r="A27" s="846"/>
      <c r="C27" s="1281" t="str">
        <f>"C.   Determine Income Taxes using Return with hypothetical "&amp;F12&amp;" basis point ROE increase for Identified Projects."</f>
        <v>C.   Determine Income Taxes using Return with hypothetical 0 basis point ROE increase for Identified Projects.</v>
      </c>
      <c r="D27" s="1952"/>
      <c r="E27" s="1952"/>
      <c r="F27" s="1953"/>
      <c r="G27" s="1953"/>
      <c r="H27" s="1953"/>
      <c r="I27" s="1953"/>
      <c r="J27" s="1953"/>
      <c r="K27" s="1953"/>
      <c r="Q27" s="1954"/>
      <c r="R27" s="1946">
        <f>+F43</f>
        <v>70927493.330167443</v>
      </c>
      <c r="S27" s="1912" t="str">
        <f>+C43</f>
        <v xml:space="preserve">   Return  (TCOS, ln 112)</v>
      </c>
      <c r="T27" s="700"/>
      <c r="U27" s="779"/>
    </row>
    <row r="28" spans="1:21" ht="14.25" customHeight="1">
      <c r="A28" s="846"/>
      <c r="C28" s="359"/>
      <c r="D28" s="1914"/>
      <c r="E28" s="1914"/>
      <c r="F28" s="1942"/>
      <c r="G28" s="1942"/>
      <c r="H28" s="1942"/>
      <c r="I28" s="1942"/>
      <c r="J28" s="1942"/>
      <c r="K28" s="1942"/>
      <c r="L28" s="916"/>
      <c r="M28" s="916"/>
      <c r="N28" s="916"/>
      <c r="O28" s="916"/>
      <c r="P28" s="916"/>
      <c r="Q28" s="1932"/>
      <c r="R28" s="1946">
        <f>+F44</f>
        <v>10948828.158622464</v>
      </c>
      <c r="S28" s="1912" t="str">
        <f>+C44</f>
        <v xml:space="preserve">   Income Taxes  (TCOS, ln 111)</v>
      </c>
      <c r="T28" s="700"/>
      <c r="U28" s="1290"/>
    </row>
    <row r="29" spans="1:21" ht="19.5" customHeight="1">
      <c r="A29" s="846">
        <f>+A25+1</f>
        <v>13</v>
      </c>
      <c r="C29" s="1907" t="s">
        <v>379</v>
      </c>
      <c r="D29" s="1934"/>
      <c r="F29" s="1955">
        <f>E25</f>
        <v>70927493.330167443</v>
      </c>
      <c r="G29" s="1942"/>
      <c r="H29" s="1942"/>
      <c r="I29" s="1942"/>
      <c r="J29" s="1942"/>
      <c r="K29" s="1942"/>
      <c r="L29" s="1346" t="s">
        <v>129</v>
      </c>
      <c r="M29" s="1347" t="s">
        <v>441</v>
      </c>
      <c r="N29" s="1348"/>
      <c r="O29" s="1348"/>
      <c r="P29" s="1404"/>
      <c r="Q29" s="1942"/>
      <c r="R29" s="1946">
        <f>+F45</f>
        <v>67749.986471661759</v>
      </c>
      <c r="S29" s="1912" t="str">
        <f>+C45</f>
        <v xml:space="preserve">  Gross Margin Taxes  (TCOS, ln 116)</v>
      </c>
      <c r="T29" s="700"/>
      <c r="U29" s="779"/>
    </row>
    <row r="30" spans="1:21" ht="18">
      <c r="A30" s="846">
        <f t="shared" si="0"/>
        <v>14</v>
      </c>
      <c r="C30" s="359" t="str">
        <f>"   Tax Rate  (TCOS, ln "&amp;'SWEPCO TCOS'!B168&amp;")"</f>
        <v xml:space="preserve">   Tax Rate  (TCOS, ln 99)</v>
      </c>
      <c r="D30" s="1934"/>
      <c r="F30" s="1956">
        <f>+'SWEPCO TCOS'!G168</f>
        <v>0.24697199999999997</v>
      </c>
      <c r="G30" s="1942"/>
      <c r="H30" s="1942"/>
      <c r="I30" s="1942"/>
      <c r="J30" s="1942"/>
      <c r="K30" s="1942"/>
      <c r="L30" s="1932"/>
      <c r="M30" s="1352" t="s">
        <v>429</v>
      </c>
      <c r="N30" s="1353"/>
      <c r="O30" s="1353"/>
      <c r="P30" s="1404"/>
      <c r="Q30" s="1942"/>
      <c r="R30" s="1946">
        <f>+F55</f>
        <v>39708119.730258666</v>
      </c>
      <c r="S30" s="1912" t="str">
        <f>+C55</f>
        <v xml:space="preserve">   Less: Depreciation  (TCOS, ln 86)</v>
      </c>
      <c r="T30" s="700"/>
      <c r="U30" s="779"/>
    </row>
    <row r="31" spans="1:21">
      <c r="A31" s="846">
        <f t="shared" si="0"/>
        <v>15</v>
      </c>
      <c r="C31" s="1907" t="s">
        <v>201</v>
      </c>
      <c r="F31" s="1913">
        <f>IF(F16&gt;0,($F30/(1-$F30))*(1-$F16/$F19),0)</f>
        <v>0.22021973936004419</v>
      </c>
      <c r="L31" s="916"/>
      <c r="M31" s="916"/>
      <c r="N31" s="916"/>
      <c r="O31" s="916"/>
      <c r="P31" s="916"/>
      <c r="R31" s="1945">
        <f>+F61</f>
        <v>0.39634968110566327</v>
      </c>
      <c r="S31" s="1912" t="str">
        <f>+C61</f>
        <v xml:space="preserve">       Apportionment Factor to Texas (Worksheet K, ln 12)</v>
      </c>
      <c r="T31" s="700"/>
      <c r="U31" s="779"/>
    </row>
    <row r="32" spans="1:21">
      <c r="A32" s="846">
        <f t="shared" si="0"/>
        <v>16</v>
      </c>
      <c r="C32" s="1950" t="s">
        <v>202</v>
      </c>
      <c r="F32" s="1957">
        <f>F29*F31</f>
        <v>15619634.094630746</v>
      </c>
      <c r="L32" s="916"/>
      <c r="M32" s="916"/>
      <c r="N32" s="916"/>
      <c r="O32" s="916"/>
      <c r="P32" s="916"/>
      <c r="R32" s="1946">
        <f>+F71</f>
        <v>1211852140.3736484</v>
      </c>
      <c r="S32" s="1912" t="str">
        <f>+C71</f>
        <v xml:space="preserve">   Net Transmission Plant  (TCOS, ln 37)</v>
      </c>
      <c r="T32" s="700"/>
      <c r="U32" s="1960"/>
    </row>
    <row r="33" spans="1:21" ht="15">
      <c r="A33" s="846">
        <f t="shared" si="0"/>
        <v>17</v>
      </c>
      <c r="C33" s="359" t="str">
        <f>"   ITC Adjustment  (TCOS, ln "&amp;'SWEPCO TCOS'!B178&amp;")"</f>
        <v xml:space="preserve">   ITC Adjustment  (TCOS, ln 108)</v>
      </c>
      <c r="D33" s="873"/>
      <c r="F33" s="1942">
        <f>+'SWEPCO TCOS'!L178</f>
        <v>-362683.52887335472</v>
      </c>
      <c r="G33" s="873"/>
      <c r="H33" s="873"/>
      <c r="I33" s="873"/>
      <c r="J33" s="873"/>
      <c r="K33" s="873"/>
      <c r="L33" s="916"/>
      <c r="M33" s="916"/>
      <c r="N33" s="916"/>
      <c r="O33" s="916"/>
      <c r="P33" s="916"/>
      <c r="Q33" s="873"/>
      <c r="R33" s="1945">
        <f>+F76</f>
        <v>0.10554029605486887</v>
      </c>
      <c r="S33" s="2054" t="str">
        <f>+C77</f>
        <v xml:space="preserve">   FCR less Depreciation  (TCOS, ln 10)</v>
      </c>
      <c r="T33" s="700"/>
      <c r="U33" s="1290"/>
    </row>
    <row r="34" spans="1:21" ht="15">
      <c r="A34" s="846">
        <f t="shared" si="0"/>
        <v>18</v>
      </c>
      <c r="C34" s="359" t="str">
        <f>"   Excess DFIT Adjustment  (TCOS, ln "&amp;'SWEPCO TCOS'!B179&amp;")"</f>
        <v xml:space="preserve">   Excess DFIT Adjustment  (TCOS, ln 109)</v>
      </c>
      <c r="D34" s="873"/>
      <c r="F34" s="1942">
        <f>+'SWEPCO TCOS'!L179</f>
        <v>-4665638.9935035612</v>
      </c>
      <c r="G34" s="873"/>
      <c r="H34" s="873"/>
      <c r="I34" s="873"/>
      <c r="J34" s="873"/>
      <c r="K34" s="873"/>
      <c r="L34" s="916"/>
      <c r="M34" s="916"/>
      <c r="N34" s="916"/>
      <c r="O34" s="916"/>
      <c r="P34" s="916"/>
      <c r="Q34" s="873"/>
      <c r="R34" s="2055">
        <f>+F81</f>
        <v>1774860127.5</v>
      </c>
      <c r="S34" s="2056" t="str">
        <f>+C81</f>
        <v>Transmission Plant Average Balance for 2018 (WS A-1 Ln 14 Col (d))</v>
      </c>
      <c r="T34" s="700"/>
      <c r="U34" s="1290"/>
    </row>
    <row r="35" spans="1:21" ht="15.75" thickBot="1">
      <c r="A35" s="846">
        <f t="shared" si="0"/>
        <v>19</v>
      </c>
      <c r="C35" s="359" t="str">
        <f>"   Tax Effect of Permanent and Flow Through Differences (TCOS, ln "&amp;'SWEPCO TCOS'!B180&amp;")"</f>
        <v xml:space="preserve">   Tax Effect of Permanent and Flow Through Differences (TCOS, ln 110)</v>
      </c>
      <c r="D35" s="873"/>
      <c r="F35" s="1942">
        <f>+'SWEPCO TCOS'!L180</f>
        <v>357516.58636863431</v>
      </c>
      <c r="G35" s="873"/>
      <c r="H35" s="873"/>
      <c r="I35" s="873"/>
      <c r="J35" s="873"/>
      <c r="K35" s="873"/>
      <c r="L35" s="916"/>
      <c r="M35" s="916"/>
      <c r="N35" s="916"/>
      <c r="O35" s="916"/>
      <c r="P35" s="916"/>
      <c r="Q35" s="873"/>
      <c r="R35" s="2057">
        <f>+F82</f>
        <v>41812686</v>
      </c>
      <c r="S35" s="2058" t="str">
        <f>+C82</f>
        <v>Annual Depreciation Expense  (TCOS, ln 86)</v>
      </c>
      <c r="T35" s="700"/>
      <c r="U35" s="1290"/>
    </row>
    <row r="36" spans="1:21" ht="15">
      <c r="A36" s="846">
        <f t="shared" si="0"/>
        <v>20</v>
      </c>
      <c r="C36" s="1950" t="s">
        <v>380</v>
      </c>
      <c r="D36" s="873"/>
      <c r="F36" s="1962">
        <f>+SUM(F32:F35)</f>
        <v>10948828.158622464</v>
      </c>
      <c r="G36" s="873"/>
      <c r="H36" s="873"/>
      <c r="I36" s="873"/>
      <c r="J36" s="873"/>
      <c r="K36" s="873"/>
      <c r="L36" s="1334"/>
      <c r="M36" s="1334"/>
      <c r="N36" s="1334"/>
      <c r="O36" s="1334"/>
      <c r="P36" s="1334"/>
      <c r="Q36" s="873"/>
      <c r="R36" s="2059"/>
      <c r="S36" s="779"/>
      <c r="T36" s="700"/>
    </row>
    <row r="37" spans="1:21" ht="12.75" customHeight="1">
      <c r="A37" s="846"/>
      <c r="C37" s="835"/>
      <c r="D37" s="873"/>
      <c r="E37" s="873"/>
      <c r="F37" s="873"/>
      <c r="G37" s="873"/>
      <c r="H37" s="873"/>
      <c r="I37" s="873"/>
      <c r="J37" s="873"/>
      <c r="K37" s="873"/>
      <c r="L37" s="1334"/>
      <c r="M37" s="1334"/>
      <c r="N37" s="1334"/>
      <c r="O37" s="1334"/>
      <c r="P37" s="1334"/>
      <c r="Q37" s="873"/>
      <c r="R37" s="791"/>
      <c r="T37" s="700"/>
    </row>
    <row r="38" spans="1:21" ht="18.75">
      <c r="A38" s="846"/>
      <c r="B38" s="1279" t="s">
        <v>313</v>
      </c>
      <c r="C38" s="1277" t="str">
        <f>"Calculate Net Plant Carrying Charge Rate (Fixed Charge Rate or FCR) with hypothetical "&amp;F12&amp;" basis point"</f>
        <v>Calculate Net Plant Carrying Charge Rate (Fixed Charge Rate or FCR) with hypothetical 0 basis point</v>
      </c>
      <c r="D38" s="873"/>
      <c r="E38" s="873"/>
      <c r="F38" s="873"/>
      <c r="G38" s="873"/>
      <c r="H38" s="873"/>
      <c r="I38" s="873"/>
      <c r="J38" s="873"/>
      <c r="K38" s="873"/>
      <c r="L38" s="1334"/>
      <c r="M38" s="1334"/>
      <c r="N38" s="1334"/>
      <c r="O38" s="1334"/>
      <c r="P38" s="1334"/>
      <c r="Q38" s="873"/>
      <c r="R38" s="791"/>
      <c r="T38" s="700"/>
    </row>
    <row r="39" spans="1:21" ht="18.75" customHeight="1">
      <c r="A39" s="846"/>
      <c r="B39" s="1279"/>
      <c r="C39" s="1277" t="str">
        <f>"ROE increase."</f>
        <v>ROE increase.</v>
      </c>
      <c r="D39" s="873"/>
      <c r="E39" s="873"/>
      <c r="F39" s="873"/>
      <c r="G39" s="873"/>
      <c r="H39" s="873"/>
      <c r="I39" s="873"/>
      <c r="J39" s="873"/>
      <c r="K39" s="873"/>
      <c r="L39" s="873"/>
      <c r="M39" s="873"/>
      <c r="N39" s="873"/>
      <c r="O39" s="873"/>
      <c r="P39" s="804"/>
      <c r="Q39" s="873"/>
      <c r="R39" s="1077" t="s">
        <v>169</v>
      </c>
      <c r="S39" s="1276" t="s">
        <v>436</v>
      </c>
    </row>
    <row r="40" spans="1:21" ht="12.75" customHeight="1">
      <c r="A40" s="846"/>
      <c r="C40" s="835"/>
      <c r="D40" s="873"/>
      <c r="E40" s="873"/>
      <c r="F40" s="873"/>
      <c r="G40" s="873"/>
      <c r="H40" s="873"/>
      <c r="I40" s="873"/>
      <c r="J40" s="873"/>
      <c r="K40" s="873"/>
      <c r="P40" s="804"/>
      <c r="Q40" s="873"/>
      <c r="R40" s="791"/>
    </row>
    <row r="41" spans="1:21" ht="15.75">
      <c r="A41" s="846"/>
      <c r="C41" s="1281" t="s">
        <v>151</v>
      </c>
      <c r="D41" s="873"/>
      <c r="E41" s="873"/>
      <c r="F41" s="659"/>
      <c r="G41" s="659"/>
      <c r="H41" s="873"/>
      <c r="I41" s="873"/>
      <c r="J41" s="873"/>
      <c r="K41" s="873"/>
      <c r="P41" s="804"/>
      <c r="Q41" s="873"/>
      <c r="R41" s="1276" t="s">
        <v>170</v>
      </c>
      <c r="S41" s="1276" t="s">
        <v>436</v>
      </c>
    </row>
    <row r="42" spans="1:21" ht="12.75" customHeight="1">
      <c r="A42" s="846">
        <f>+A36+1</f>
        <v>21</v>
      </c>
      <c r="C42" s="359" t="str">
        <f>"   Net Revenue Requirement  (TCOS, ln "&amp;'SWEPCO TCOS'!B193&amp;")"</f>
        <v xml:space="preserve">   Net Revenue Requirement  (TCOS, ln 117)</v>
      </c>
      <c r="D42" s="1963"/>
      <c r="E42" s="1963"/>
      <c r="F42" s="1942">
        <f>+'SWEPCO TCOS'!L193</f>
        <v>167607353.40002003</v>
      </c>
      <c r="G42" s="1942"/>
      <c r="H42" s="1963"/>
      <c r="I42" s="1963"/>
      <c r="J42" s="1963"/>
      <c r="K42" s="1963"/>
      <c r="L42" s="1963"/>
      <c r="M42" s="1963"/>
      <c r="N42" s="1963"/>
      <c r="O42" s="1963"/>
      <c r="P42" s="1942"/>
      <c r="Q42" s="1963"/>
      <c r="R42" s="1276"/>
      <c r="S42" s="1077"/>
    </row>
    <row r="43" spans="1:21">
      <c r="A43" s="846">
        <f t="shared" si="0"/>
        <v>22</v>
      </c>
      <c r="C43" s="359" t="str">
        <f>"   Return  (TCOS, ln "&amp;'SWEPCO TCOS'!B184&amp;")"</f>
        <v xml:space="preserve">   Return  (TCOS, ln 112)</v>
      </c>
      <c r="D43" s="1963"/>
      <c r="E43" s="1963"/>
      <c r="F43" s="1932">
        <f>+'SWEPCO TCOS'!L184</f>
        <v>70927493.330167443</v>
      </c>
      <c r="G43" s="1932"/>
      <c r="H43" s="1966"/>
      <c r="I43" s="1966"/>
      <c r="J43" s="1966"/>
      <c r="K43" s="1966"/>
      <c r="L43" s="1966"/>
      <c r="M43" s="1966"/>
      <c r="N43" s="1966"/>
      <c r="O43" s="1966"/>
      <c r="P43" s="1942"/>
      <c r="Q43" s="1966"/>
      <c r="R43" s="1276"/>
      <c r="S43" s="1077"/>
    </row>
    <row r="44" spans="1:21">
      <c r="A44" s="846">
        <f t="shared" si="0"/>
        <v>23</v>
      </c>
      <c r="C44" s="359" t="str">
        <f>"   Income Taxes  (TCOS, ln "&amp;'SWEPCO TCOS'!B182&amp;")"</f>
        <v xml:space="preserve">   Income Taxes  (TCOS, ln 111)</v>
      </c>
      <c r="D44" s="1963"/>
      <c r="E44" s="1963"/>
      <c r="F44" s="1942">
        <f>+'SWEPCO TCOS'!L182</f>
        <v>10948828.158622464</v>
      </c>
      <c r="G44" s="1942"/>
      <c r="H44" s="1963"/>
      <c r="I44" s="1963"/>
      <c r="J44" s="1963"/>
      <c r="K44" s="1963"/>
      <c r="L44" s="1969"/>
      <c r="M44" s="1969"/>
      <c r="N44" s="1969"/>
      <c r="O44" s="1969"/>
      <c r="P44" s="1963"/>
      <c r="Q44" s="1969"/>
      <c r="R44" s="1282" t="s">
        <v>166</v>
      </c>
      <c r="S44" s="1276" t="s">
        <v>70</v>
      </c>
    </row>
    <row r="45" spans="1:21" ht="13.5" thickBot="1">
      <c r="A45" s="846">
        <f t="shared" si="0"/>
        <v>24</v>
      </c>
      <c r="C45" s="359" t="str">
        <f>"  Gross Margin Taxes  (TCOS, ln "&amp;'SWEPCO TCOS'!B191&amp;")"</f>
        <v xml:space="preserve">  Gross Margin Taxes  (TCOS, ln 116)</v>
      </c>
      <c r="D45" s="1963"/>
      <c r="E45" s="1963"/>
      <c r="F45" s="1970">
        <f>+'SWEPCO TCOS'!L191</f>
        <v>67749.986471661759</v>
      </c>
      <c r="G45" s="1942"/>
      <c r="H45" s="1963"/>
      <c r="I45" s="1963"/>
      <c r="J45" s="1963"/>
      <c r="K45" s="1963"/>
      <c r="L45" s="1969"/>
      <c r="M45" s="1969"/>
      <c r="N45" s="1969"/>
      <c r="O45" s="1969"/>
      <c r="P45" s="1963"/>
      <c r="Q45" s="1969"/>
      <c r="R45" s="1276" t="s">
        <v>437</v>
      </c>
    </row>
    <row r="46" spans="1:21">
      <c r="A46" s="846">
        <f t="shared" si="0"/>
        <v>25</v>
      </c>
      <c r="C46" s="779" t="s">
        <v>23</v>
      </c>
      <c r="D46" s="1963"/>
      <c r="E46" s="1963"/>
      <c r="F46" s="1932">
        <f>F42-F43-F44-F45</f>
        <v>85663281.924758464</v>
      </c>
      <c r="G46" s="1932"/>
      <c r="H46" s="336"/>
      <c r="I46" s="1963"/>
      <c r="J46" s="1963"/>
      <c r="K46" s="1963"/>
      <c r="L46" s="336"/>
      <c r="M46" s="336"/>
      <c r="N46" s="336"/>
      <c r="O46" s="336"/>
      <c r="P46" s="336"/>
      <c r="Q46" s="336"/>
      <c r="R46" s="1371">
        <v>94420138.109302804</v>
      </c>
      <c r="S46" s="791" t="str">
        <f>+L18&amp;" "&amp;N16</f>
        <v>∑ True Up Year Projected  WS-F   Rev Require</v>
      </c>
    </row>
    <row r="47" spans="1:21">
      <c r="A47" s="846"/>
      <c r="C47" s="359"/>
      <c r="D47" s="1963"/>
      <c r="E47" s="1963"/>
      <c r="F47" s="1942"/>
      <c r="G47" s="1942"/>
      <c r="H47" s="1971"/>
      <c r="I47" s="1972"/>
      <c r="J47" s="1972"/>
      <c r="K47" s="1972"/>
      <c r="L47" s="1972"/>
      <c r="M47" s="1972"/>
      <c r="N47" s="1972"/>
      <c r="O47" s="1972"/>
      <c r="P47" s="1972"/>
      <c r="Q47" s="1972"/>
      <c r="R47" s="1373">
        <v>94420138.109302804</v>
      </c>
      <c r="S47" s="791" t="str">
        <f>+L18&amp;" "&amp;O16</f>
        <v>∑ True Up Year Projected  WS-F    With Incentives</v>
      </c>
    </row>
    <row r="48" spans="1:21" ht="15.75">
      <c r="A48" s="846"/>
      <c r="C48" s="1281" t="str">
        <f>"B.   Determine Net Revenue Requirement with hypothetical "&amp;F12&amp;" basis point increase in ROE."</f>
        <v>B.   Determine Net Revenue Requirement with hypothetical 0 basis point increase in ROE.</v>
      </c>
      <c r="D48" s="1907"/>
      <c r="E48" s="1907"/>
      <c r="F48" s="1942"/>
      <c r="G48" s="1942"/>
      <c r="H48" s="1971"/>
      <c r="I48" s="1972"/>
      <c r="J48" s="1972"/>
      <c r="K48" s="1972"/>
      <c r="L48" s="1972"/>
      <c r="M48" s="1972"/>
      <c r="N48" s="1972"/>
      <c r="O48" s="1972"/>
      <c r="P48" s="1972"/>
      <c r="Q48" s="1972"/>
      <c r="R48" s="1501">
        <v>81604435.927274346</v>
      </c>
      <c r="S48" s="791" t="str">
        <f>+L19&amp;" "&amp;N16</f>
        <v>∑ True-Up Year True-Up WS-G   Rev Require</v>
      </c>
    </row>
    <row r="49" spans="1:19" ht="13.5" thickBot="1">
      <c r="A49" s="846">
        <f>+A46+1</f>
        <v>26</v>
      </c>
      <c r="C49" s="359" t="str">
        <f>C46</f>
        <v xml:space="preserve">   Net Revenue Requirement, Less Return and Taxes</v>
      </c>
      <c r="D49" s="1907"/>
      <c r="E49" s="1907"/>
      <c r="F49" s="1942">
        <f>F46</f>
        <v>85663281.924758464</v>
      </c>
      <c r="G49" s="1942"/>
      <c r="H49" s="1971"/>
      <c r="I49" s="1972"/>
      <c r="J49" s="1972"/>
      <c r="K49" s="1972"/>
      <c r="L49" s="1972"/>
      <c r="M49" s="1972"/>
      <c r="N49" s="1972"/>
      <c r="O49" s="1972"/>
      <c r="P49" s="1972"/>
      <c r="Q49" s="1972"/>
      <c r="R49" s="1374">
        <v>81604435.927274346</v>
      </c>
      <c r="S49" s="791" t="str">
        <f>+L19&amp;" "&amp;O16</f>
        <v>∑ True-Up Year True-Up WS-G    With Incentives</v>
      </c>
    </row>
    <row r="50" spans="1:19">
      <c r="A50" s="846">
        <f t="shared" ref="A50:A56" si="1">+A49+1</f>
        <v>27</v>
      </c>
      <c r="C50" s="1907" t="s">
        <v>388</v>
      </c>
      <c r="D50" s="1973"/>
      <c r="E50" s="779"/>
      <c r="F50" s="1974">
        <f>E25</f>
        <v>70927493.330167443</v>
      </c>
      <c r="G50" s="1942"/>
      <c r="H50" s="1963"/>
      <c r="I50" s="1963"/>
      <c r="J50" s="1963"/>
      <c r="K50" s="1963"/>
      <c r="L50" s="1963"/>
      <c r="M50" s="1963"/>
      <c r="N50" s="1963"/>
      <c r="O50" s="1963"/>
      <c r="P50" s="1377"/>
      <c r="Q50" s="1963"/>
    </row>
    <row r="51" spans="1:19">
      <c r="A51" s="846">
        <f t="shared" si="1"/>
        <v>28</v>
      </c>
      <c r="C51" s="359" t="s">
        <v>381</v>
      </c>
      <c r="D51" s="1963"/>
      <c r="E51" s="1963"/>
      <c r="F51" s="1380">
        <f>F36</f>
        <v>10948828.158622464</v>
      </c>
      <c r="G51" s="1974"/>
      <c r="H51" s="779"/>
      <c r="I51" s="1814"/>
      <c r="J51" s="1814"/>
      <c r="K51" s="1814"/>
      <c r="L51" s="779"/>
      <c r="M51" s="779"/>
      <c r="N51" s="779"/>
      <c r="O51" s="779"/>
      <c r="P51" s="779"/>
    </row>
    <row r="52" spans="1:19" ht="12.75" customHeight="1">
      <c r="A52" s="846">
        <f t="shared" si="1"/>
        <v>29</v>
      </c>
      <c r="C52" s="779" t="str">
        <f>"   Net Revenue Requirement, with "&amp;F12&amp;" Basis Point ROE increase"</f>
        <v xml:space="preserve">   Net Revenue Requirement, with 0 Basis Point ROE increase</v>
      </c>
      <c r="F52" s="1957">
        <f>SUM(F49:F51)</f>
        <v>167539603.41354838</v>
      </c>
      <c r="G52" s="1381"/>
    </row>
    <row r="53" spans="1:19">
      <c r="A53" s="846">
        <f t="shared" si="1"/>
        <v>30</v>
      </c>
      <c r="C53" s="1960" t="str">
        <f>"   Gross Margin Tax with "&amp;F87&amp;" Basis Point ROE Increase (II C. below)"</f>
        <v xml:space="preserve">   Gross Margin Tax with  Basis Point ROE Increase (II C. below)</v>
      </c>
      <c r="D53" s="844"/>
      <c r="E53" s="844"/>
      <c r="F53" s="1975">
        <f>+F68</f>
        <v>67749.986471661759</v>
      </c>
      <c r="G53" s="1957"/>
    </row>
    <row r="54" spans="1:19">
      <c r="A54" s="846">
        <f t="shared" si="1"/>
        <v>31</v>
      </c>
      <c r="C54" s="779" t="s">
        <v>24</v>
      </c>
      <c r="F54" s="1974">
        <f>+F52+F53</f>
        <v>167607353.40002003</v>
      </c>
      <c r="G54" s="1974"/>
    </row>
    <row r="55" spans="1:19">
      <c r="A55" s="846">
        <f t="shared" si="1"/>
        <v>32</v>
      </c>
      <c r="C55" s="359" t="str">
        <f>"   Less: Depreciation  (TCOS, ln "&amp;'SWEPCO TCOS'!B153&amp;")"</f>
        <v xml:space="preserve">   Less: Depreciation  (TCOS, ln 86)</v>
      </c>
      <c r="F55" s="1383">
        <f>+'SWEPCO TCOS'!L153</f>
        <v>39708119.730258666</v>
      </c>
      <c r="G55" s="1974"/>
    </row>
    <row r="56" spans="1:19">
      <c r="A56" s="846">
        <f t="shared" si="1"/>
        <v>33</v>
      </c>
      <c r="C56" s="779" t="str">
        <f>"   Net Rev. Req, w/"&amp;F12&amp;" Basis Point ROE increase, less Depreciation"</f>
        <v xml:space="preserve">   Net Rev. Req, w/0 Basis Point ROE increase, less Depreciation</v>
      </c>
      <c r="F56" s="1957">
        <f>F54-F55</f>
        <v>127899233.66976136</v>
      </c>
      <c r="G56" s="1383"/>
    </row>
    <row r="57" spans="1:19">
      <c r="A57" s="846"/>
      <c r="G57" s="1957"/>
    </row>
    <row r="58" spans="1:19" ht="15.75">
      <c r="A58" s="846"/>
      <c r="C58" s="1281" t="str">
        <f>"C.   Determine Gross Margin Tax with hypothetical "&amp;F12&amp;" basis point increase in ROE."</f>
        <v>C.   Determine Gross Margin Tax with hypothetical 0 basis point increase in ROE.</v>
      </c>
      <c r="D58" s="844"/>
      <c r="E58" s="844"/>
      <c r="F58" s="1957"/>
    </row>
    <row r="59" spans="1:19">
      <c r="A59" s="846">
        <f>+A56+1</f>
        <v>34</v>
      </c>
      <c r="C59" s="1960" t="str">
        <f>"   Net Revenue Requirement before Gross Margin Taxes, with "&amp;F12&amp;" "</f>
        <v xml:space="preserve">   Net Revenue Requirement before Gross Margin Taxes, with 0 </v>
      </c>
      <c r="D59" s="844"/>
      <c r="E59" s="844"/>
      <c r="F59" s="1957">
        <f>+F52</f>
        <v>167539603.41354838</v>
      </c>
      <c r="G59" s="1957"/>
    </row>
    <row r="60" spans="1:19">
      <c r="A60" s="846">
        <f t="shared" ref="A60:A68" si="2">+A59+1</f>
        <v>35</v>
      </c>
      <c r="C60" s="1960" t="s">
        <v>25</v>
      </c>
      <c r="D60" s="844"/>
      <c r="E60" s="844"/>
      <c r="F60" s="1957"/>
      <c r="G60" s="1957"/>
    </row>
    <row r="61" spans="1:19">
      <c r="A61" s="846">
        <f t="shared" si="2"/>
        <v>36</v>
      </c>
      <c r="C61" s="779" t="str">
        <f>"       Apportionment Factor to Texas (Worksheet K, ln "&amp;'SWEPCO WS K State Taxes'!A53&amp;")"</f>
        <v xml:space="preserve">       Apportionment Factor to Texas (Worksheet K, ln 12)</v>
      </c>
      <c r="F61" s="1976">
        <f>+'SWEPCO WS K State Taxes'!E53</f>
        <v>0.39634968110566327</v>
      </c>
      <c r="G61" s="1957"/>
    </row>
    <row r="62" spans="1:19">
      <c r="A62" s="846">
        <f t="shared" si="2"/>
        <v>37</v>
      </c>
      <c r="C62" s="779" t="s">
        <v>26</v>
      </c>
      <c r="F62" s="1957">
        <f>+F61*F59</f>
        <v>66404268.38552919</v>
      </c>
      <c r="G62" s="1956"/>
    </row>
    <row r="63" spans="1:19">
      <c r="A63" s="846">
        <f t="shared" si="2"/>
        <v>38</v>
      </c>
      <c r="C63" s="779" t="s">
        <v>1087</v>
      </c>
      <c r="F63" s="1977">
        <f>+'SWEPCO WS K State Taxes'!K42</f>
        <v>0.13597918350365104</v>
      </c>
      <c r="G63" s="1957"/>
    </row>
    <row r="64" spans="1:19">
      <c r="A64" s="846">
        <f t="shared" si="2"/>
        <v>39</v>
      </c>
      <c r="C64" s="779" t="s">
        <v>27</v>
      </c>
      <c r="F64" s="1957">
        <f>+F62*F63</f>
        <v>9029598.1962215677</v>
      </c>
      <c r="G64" s="1978"/>
    </row>
    <row r="65" spans="1:8">
      <c r="A65" s="846">
        <f t="shared" si="2"/>
        <v>40</v>
      </c>
      <c r="C65" s="779" t="s">
        <v>28</v>
      </c>
      <c r="F65" s="2060">
        <f>+'SWEPCO WS K State Taxes'!K44</f>
        <v>7.4999999999999997E-3</v>
      </c>
      <c r="G65" s="1957"/>
    </row>
    <row r="66" spans="1:8">
      <c r="A66" s="846">
        <f t="shared" si="2"/>
        <v>41</v>
      </c>
      <c r="C66" s="779" t="s">
        <v>29</v>
      </c>
      <c r="F66" s="1957">
        <f>+F64*F65</f>
        <v>67721.986471661759</v>
      </c>
      <c r="G66" s="1978"/>
    </row>
    <row r="67" spans="1:8">
      <c r="A67" s="846">
        <f t="shared" si="2"/>
        <v>42</v>
      </c>
      <c r="C67" s="779" t="s">
        <v>30</v>
      </c>
      <c r="F67" s="1979">
        <f>+ROUND((F66*F63*F61)/(1-F65)*F65,0)</f>
        <v>28</v>
      </c>
      <c r="G67" s="1957"/>
    </row>
    <row r="68" spans="1:8">
      <c r="A68" s="846">
        <f t="shared" si="2"/>
        <v>43</v>
      </c>
      <c r="C68" s="779" t="s">
        <v>31</v>
      </c>
      <c r="F68" s="1957">
        <f>+F66+F67</f>
        <v>67749.986471661759</v>
      </c>
      <c r="G68" s="1867"/>
    </row>
    <row r="69" spans="1:8">
      <c r="A69" s="846"/>
      <c r="G69" s="1957"/>
    </row>
    <row r="70" spans="1:8" ht="15.75">
      <c r="A70" s="846"/>
      <c r="C70" s="1281" t="str">
        <f>"D.   Determine FCR with hypothetical "&amp;F12&amp;" basis point ROE increase."</f>
        <v>D.   Determine FCR with hypothetical 0 basis point ROE increase.</v>
      </c>
    </row>
    <row r="71" spans="1:8">
      <c r="A71" s="846">
        <f>+A68+1</f>
        <v>44</v>
      </c>
      <c r="C71" s="359" t="str">
        <f>"   Net Transmission Plant  (TCOS, ln "&amp;'SWEPCO TCOS'!B79&amp;")"</f>
        <v xml:space="preserve">   Net Transmission Plant  (TCOS, ln 37)</v>
      </c>
      <c r="F71" s="1957">
        <f>+'SWEPCO TCOS'!L79</f>
        <v>1211852140.3736484</v>
      </c>
    </row>
    <row r="72" spans="1:8" ht="15">
      <c r="A72" s="846">
        <f>+A71+1</f>
        <v>45</v>
      </c>
      <c r="C72" s="779" t="str">
        <f>"   Net Revenue Requirement, with "&amp;F12&amp;" Basis Point ROE increase"</f>
        <v xml:space="preserve">   Net Revenue Requirement, with 0 Basis Point ROE increase</v>
      </c>
      <c r="F72" s="1388">
        <f>+F54</f>
        <v>167607353.40002003</v>
      </c>
      <c r="G72" s="1957"/>
    </row>
    <row r="73" spans="1:8" ht="15">
      <c r="A73" s="846">
        <f>+A72+1</f>
        <v>46</v>
      </c>
      <c r="C73" s="779" t="str">
        <f>"   FCR with "&amp;F12&amp;" Basis Point increase in ROE"</f>
        <v xml:space="preserve">   FCR with 0 Basis Point increase in ROE</v>
      </c>
      <c r="F73" s="881">
        <f>IF(F71=0,0,F72/F71)</f>
        <v>0.1383067684712278</v>
      </c>
      <c r="G73" s="1388"/>
    </row>
    <row r="74" spans="1:8">
      <c r="A74" s="846"/>
      <c r="G74" s="881"/>
    </row>
    <row r="75" spans="1:8">
      <c r="A75" s="846">
        <f>+A73+1</f>
        <v>47</v>
      </c>
      <c r="C75" s="779" t="str">
        <f>"   Net Rev. Req, w / "&amp;F12&amp;" Basis Point ROE increase, less Dep."</f>
        <v xml:space="preserve">   Net Rev. Req, w / 0 Basis Point ROE increase, less Dep.</v>
      </c>
      <c r="F75" s="1957">
        <f>+F56</f>
        <v>127899233.66976136</v>
      </c>
      <c r="H75" s="881"/>
    </row>
    <row r="76" spans="1:8">
      <c r="A76" s="846">
        <f t="shared" ref="A76:A85" si="3">+A75+1</f>
        <v>48</v>
      </c>
      <c r="C76" s="779" t="str">
        <f>"   FCR with "&amp;F12&amp;" Basis Point ROE increase, less Depreciation"</f>
        <v xml:space="preserve">   FCR with 0 Basis Point ROE increase, less Depreciation</v>
      </c>
      <c r="F76" s="881">
        <f>IF(F71=0,0,F75/F71)</f>
        <v>0.10554029605486887</v>
      </c>
      <c r="G76" s="1957"/>
    </row>
    <row r="77" spans="1:8">
      <c r="A77" s="846">
        <f t="shared" si="3"/>
        <v>49</v>
      </c>
      <c r="C77" s="359" t="str">
        <f>"   FCR less Depreciation  (TCOS, ln "&amp;'SWEPCO TCOS'!B30&amp;")"</f>
        <v xml:space="preserve">   FCR less Depreciation  (TCOS, ln 10)</v>
      </c>
      <c r="F77" s="1389">
        <f>+'SWEPCO TCOS'!L30</f>
        <v>0.10554029605486887</v>
      </c>
      <c r="G77" s="881"/>
      <c r="H77" s="1957"/>
    </row>
    <row r="78" spans="1:8">
      <c r="A78" s="846">
        <f t="shared" si="3"/>
        <v>50</v>
      </c>
      <c r="C78" s="779" t="str">
        <f>"   Incremental FCR with "&amp;F12&amp;" Basis Point ROE increase, less Depreciation"</f>
        <v xml:space="preserve">   Incremental FCR with 0 Basis Point ROE increase, less Depreciation</v>
      </c>
      <c r="F78" s="881">
        <f>F76-F77</f>
        <v>0</v>
      </c>
      <c r="G78" s="1389"/>
      <c r="H78" s="1980"/>
    </row>
    <row r="79" spans="1:8">
      <c r="A79" s="846"/>
      <c r="C79" s="779"/>
      <c r="F79" s="881"/>
      <c r="G79" s="881"/>
    </row>
    <row r="80" spans="1:8" ht="18.75">
      <c r="A80" s="846"/>
      <c r="B80" s="1279" t="s">
        <v>314</v>
      </c>
      <c r="C80" s="1277" t="s">
        <v>382</v>
      </c>
      <c r="F80" s="881"/>
      <c r="G80" s="881"/>
    </row>
    <row r="81" spans="1:16" ht="12.75" customHeight="1">
      <c r="A81" s="846">
        <f>+A78+1</f>
        <v>51</v>
      </c>
      <c r="C81" s="779" t="str">
        <f>"Transmission Plant Average Balance for "&amp;'SWEPCO TCOS'!$N$2&amp;" (WS A-1 Ln "&amp;'SWEPCO WS A-1 - Plant'!A24&amp;" Col "&amp;'SWEPCO WS A-1 - Plant'!E9&amp;")"</f>
        <v>Transmission Plant Average Balance for 2018 (WS A-1 Ln 14 Col (d))</v>
      </c>
      <c r="F81" s="1814">
        <f>+'SWEPCO WS A-1 - Plant'!E24</f>
        <v>1774860127.5</v>
      </c>
      <c r="G81" s="1794"/>
    </row>
    <row r="82" spans="1:16">
      <c r="A82" s="846">
        <f t="shared" si="3"/>
        <v>52</v>
      </c>
      <c r="C82" s="359" t="str">
        <f>"Annual Depreciation Expense  (TCOS, ln "&amp;'SWEPCO TCOS'!B153&amp;")"</f>
        <v>Annual Depreciation Expense  (TCOS, ln 86)</v>
      </c>
      <c r="F82" s="1814">
        <f>+'SWEPCO TCOS'!G153</f>
        <v>41812686</v>
      </c>
      <c r="G82" s="1814"/>
    </row>
    <row r="83" spans="1:16">
      <c r="A83" s="846">
        <f t="shared" si="3"/>
        <v>53</v>
      </c>
      <c r="C83" s="779" t="s">
        <v>383</v>
      </c>
      <c r="F83" s="881">
        <f>IF(F81=0,0,F82/F81)</f>
        <v>2.3558299244062542E-2</v>
      </c>
      <c r="G83" s="1814"/>
    </row>
    <row r="84" spans="1:16">
      <c r="A84" s="846">
        <f t="shared" si="3"/>
        <v>54</v>
      </c>
      <c r="C84" s="779" t="s">
        <v>384</v>
      </c>
      <c r="F84" s="1981">
        <f>IF(F83=0,0,1/F83)</f>
        <v>42.44788597173595</v>
      </c>
      <c r="G84" s="881"/>
      <c r="I84" s="1793"/>
      <c r="J84" s="1793"/>
      <c r="K84" s="1793"/>
    </row>
    <row r="85" spans="1:16">
      <c r="A85" s="846">
        <f t="shared" si="3"/>
        <v>55</v>
      </c>
      <c r="C85" s="779" t="s">
        <v>385</v>
      </c>
      <c r="F85" s="1810">
        <f>ROUND(F84,0)</f>
        <v>42</v>
      </c>
      <c r="G85" s="1981"/>
    </row>
    <row r="86" spans="1:16">
      <c r="A86" s="846"/>
      <c r="C86" s="359"/>
      <c r="D86" s="1907"/>
      <c r="E86" s="1907"/>
      <c r="F86" s="1942"/>
      <c r="G86" s="1810"/>
    </row>
    <row r="87" spans="1:16">
      <c r="C87" s="779"/>
      <c r="F87" s="1810"/>
      <c r="G87" s="1810"/>
    </row>
    <row r="89" spans="1:16" ht="20.25">
      <c r="A89" s="2061" t="str">
        <f>"Worksheet G  --  "&amp;'SWEPCO TCOS'!F8&amp;"--  Calculation of Trued-Up ARR for SPP Base Plan Upgrade Projects"</f>
        <v>Worksheet G  --  SOUTHWESTERN ELECTRIC POWER COMPANY--  Calculation of Trued-Up ARR for SPP Base Plan Upgrade Projects</v>
      </c>
      <c r="B89" s="1968"/>
      <c r="C89" s="2062"/>
      <c r="D89" s="2063"/>
      <c r="E89" s="1968"/>
      <c r="F89" s="2064"/>
      <c r="G89" s="2064"/>
      <c r="H89" s="1968"/>
      <c r="I89" s="1984"/>
      <c r="J89" s="1968"/>
      <c r="K89" s="2065"/>
      <c r="L89" s="2066"/>
      <c r="M89" s="2066"/>
      <c r="N89" s="1968"/>
      <c r="O89" s="1968"/>
      <c r="P89" s="2066"/>
    </row>
    <row r="90" spans="1:16" ht="18">
      <c r="A90" s="1968"/>
      <c r="B90" s="1968"/>
      <c r="C90" s="1968"/>
      <c r="D90" s="2063"/>
      <c r="E90" s="1968"/>
      <c r="F90" s="1968"/>
      <c r="G90" s="1968"/>
      <c r="H90" s="1968"/>
      <c r="I90" s="1984"/>
      <c r="J90" s="1968"/>
      <c r="K90" s="2065"/>
      <c r="L90" s="1968"/>
      <c r="M90" s="1968"/>
      <c r="N90" s="1968"/>
      <c r="O90" s="1968"/>
      <c r="P90" s="2067"/>
    </row>
    <row r="91" spans="1:16" ht="18.75" thickBot="1">
      <c r="A91" s="1968"/>
      <c r="B91" s="2068" t="s">
        <v>315</v>
      </c>
      <c r="C91" s="2069" t="s">
        <v>484</v>
      </c>
      <c r="D91" s="2063"/>
      <c r="E91" s="1968"/>
      <c r="F91" s="1968"/>
      <c r="G91" s="1968"/>
      <c r="H91" s="1968"/>
      <c r="I91" s="1984"/>
      <c r="J91" s="1984"/>
      <c r="K91" s="1985"/>
      <c r="L91" s="1984"/>
      <c r="M91" s="1984"/>
      <c r="N91" s="1984"/>
      <c r="O91" s="1985"/>
      <c r="P91" s="1968"/>
    </row>
    <row r="92" spans="1:16" ht="15.75" thickBot="1">
      <c r="A92" s="1968"/>
      <c r="B92" s="1968"/>
      <c r="C92" s="835"/>
      <c r="D92" s="2063"/>
      <c r="E92" s="1968"/>
      <c r="F92" s="1968"/>
      <c r="G92" s="1968"/>
      <c r="H92" s="1968"/>
      <c r="I92" s="1984"/>
      <c r="J92" s="1984"/>
      <c r="K92" s="1985"/>
      <c r="L92" s="2070">
        <f>+M17</f>
        <v>2018</v>
      </c>
      <c r="M92" s="2071" t="s">
        <v>373</v>
      </c>
      <c r="N92" s="2072" t="s">
        <v>485</v>
      </c>
      <c r="O92" s="2073" t="s">
        <v>374</v>
      </c>
      <c r="P92" s="1968"/>
    </row>
    <row r="93" spans="1:16" ht="15">
      <c r="A93" s="1968"/>
      <c r="B93" s="1968"/>
      <c r="C93" s="1967" t="s">
        <v>448</v>
      </c>
      <c r="D93" s="2063"/>
      <c r="E93" s="1968"/>
      <c r="F93" s="1968"/>
      <c r="G93" s="1968"/>
      <c r="H93" s="1986"/>
      <c r="I93" s="2074"/>
      <c r="J93" s="1968"/>
      <c r="K93" s="2075"/>
      <c r="L93" s="2076" t="s">
        <v>497</v>
      </c>
      <c r="M93" s="2077"/>
      <c r="N93" s="2077"/>
      <c r="O93" s="2078">
        <v>0</v>
      </c>
      <c r="P93" s="1968"/>
    </row>
    <row r="94" spans="1:16" ht="15.75">
      <c r="A94" s="1968"/>
      <c r="B94" s="1968"/>
      <c r="C94" s="2079"/>
      <c r="D94" s="2063"/>
      <c r="E94" s="1968"/>
      <c r="F94" s="1968"/>
      <c r="G94" s="1968"/>
      <c r="H94" s="1968"/>
      <c r="I94" s="1989"/>
      <c r="J94" s="1989"/>
      <c r="K94" s="2080"/>
      <c r="L94" s="2081" t="s">
        <v>498</v>
      </c>
      <c r="M94" s="2082"/>
      <c r="N94" s="2082"/>
      <c r="O94" s="2083">
        <v>0</v>
      </c>
      <c r="P94" s="1968"/>
    </row>
    <row r="95" spans="1:16" ht="13.5" thickBot="1">
      <c r="A95" s="1968"/>
      <c r="B95" s="1968"/>
      <c r="C95" s="2084" t="s">
        <v>486</v>
      </c>
      <c r="D95" s="1415"/>
      <c r="E95" s="1415"/>
      <c r="F95" s="1968"/>
      <c r="G95" s="1968"/>
      <c r="H95" s="1968"/>
      <c r="I95" s="1984"/>
      <c r="J95" s="1984"/>
      <c r="K95" s="2032"/>
      <c r="L95" s="2085" t="s">
        <v>487</v>
      </c>
      <c r="M95" s="2086"/>
      <c r="N95" s="2086"/>
      <c r="O95" s="2087">
        <v>0</v>
      </c>
      <c r="P95" s="1968"/>
    </row>
    <row r="96" spans="1:16" ht="13.5" thickBot="1">
      <c r="A96" s="1968"/>
      <c r="B96" s="1968"/>
      <c r="C96" s="2084"/>
      <c r="D96" s="2088" t="s">
        <v>339</v>
      </c>
      <c r="E96" s="2089"/>
      <c r="F96" s="2089"/>
      <c r="G96" s="2089"/>
      <c r="H96" s="2090"/>
      <c r="I96" s="1984"/>
      <c r="J96" s="1984"/>
      <c r="K96" s="1985"/>
      <c r="L96" s="1984"/>
      <c r="M96" s="1984"/>
      <c r="N96" s="1984"/>
      <c r="O96" s="1985"/>
      <c r="P96" s="1968"/>
    </row>
    <row r="97" spans="1:16" ht="13.5" thickBot="1">
      <c r="A97" s="2091"/>
      <c r="B97" s="1968"/>
      <c r="C97" s="2092" t="s">
        <v>488</v>
      </c>
      <c r="D97" s="1421"/>
      <c r="E97" s="1996" t="s">
        <v>898</v>
      </c>
      <c r="F97" s="2093"/>
      <c r="G97" s="2093"/>
      <c r="H97" s="2093"/>
      <c r="I97" s="2093"/>
      <c r="J97" s="2093"/>
      <c r="K97" s="2094"/>
      <c r="L97" s="1968"/>
      <c r="M97" s="1968"/>
      <c r="N97" s="1968"/>
      <c r="O97" s="1968"/>
      <c r="P97" s="2095"/>
    </row>
    <row r="98" spans="1:16" ht="15">
      <c r="A98" s="1968"/>
      <c r="B98" s="1968"/>
      <c r="C98" s="2096" t="s">
        <v>452</v>
      </c>
      <c r="D98" s="1538"/>
      <c r="E98" s="2062" t="s">
        <v>128</v>
      </c>
      <c r="F98" s="1968"/>
      <c r="G98" s="1968"/>
      <c r="H98" s="2097"/>
      <c r="I98" s="2097"/>
      <c r="J98" s="2098">
        <f>+M17</f>
        <v>2018</v>
      </c>
      <c r="K98" s="2099"/>
      <c r="L98" s="1985" t="s">
        <v>489</v>
      </c>
      <c r="M98" s="1968"/>
      <c r="N98" s="1968"/>
      <c r="O98" s="1968"/>
      <c r="P98" s="2065"/>
    </row>
    <row r="99" spans="1:16" ht="15">
      <c r="A99" s="1968"/>
      <c r="B99" s="1968"/>
      <c r="C99" s="2100" t="s">
        <v>454</v>
      </c>
      <c r="D99" s="1543"/>
      <c r="E99" s="2100" t="s">
        <v>455</v>
      </c>
      <c r="F99" s="2097"/>
      <c r="G99" s="2097"/>
      <c r="H99" s="1968"/>
      <c r="I99" s="1968"/>
      <c r="J99" s="2101">
        <v>0</v>
      </c>
      <c r="K99" s="2102"/>
      <c r="L99" s="1968" t="s">
        <v>491</v>
      </c>
      <c r="M99" s="1968"/>
      <c r="N99" s="1968"/>
      <c r="O99" s="1968"/>
      <c r="P99" s="2065"/>
    </row>
    <row r="100" spans="1:16" ht="15">
      <c r="A100" s="1968"/>
      <c r="B100" s="1968"/>
      <c r="C100" s="2100" t="s">
        <v>456</v>
      </c>
      <c r="D100" s="1543"/>
      <c r="E100" s="2100" t="s">
        <v>457</v>
      </c>
      <c r="F100" s="2097"/>
      <c r="G100" s="2097"/>
      <c r="H100" s="1968"/>
      <c r="I100" s="1968"/>
      <c r="J100" s="2103">
        <f>+F77</f>
        <v>0.10554029605486887</v>
      </c>
      <c r="K100" s="2104"/>
      <c r="L100" s="1968" t="s">
        <v>492</v>
      </c>
      <c r="M100" s="1968"/>
      <c r="N100" s="1968"/>
      <c r="O100" s="1968"/>
      <c r="P100" s="2065"/>
    </row>
    <row r="101" spans="1:16" ht="15">
      <c r="A101" s="1968"/>
      <c r="B101" s="1968"/>
      <c r="C101" s="2100" t="s">
        <v>459</v>
      </c>
      <c r="D101" s="1543"/>
      <c r="E101" s="2100" t="s">
        <v>460</v>
      </c>
      <c r="F101" s="2097"/>
      <c r="G101" s="2097"/>
      <c r="H101" s="1968"/>
      <c r="I101" s="1968"/>
      <c r="J101" s="2004">
        <f>IF(H93="",J100,F76)</f>
        <v>0.10554029605486887</v>
      </c>
      <c r="K101" s="2105"/>
      <c r="L101" s="1985" t="s">
        <v>461</v>
      </c>
      <c r="M101" s="2105"/>
      <c r="N101" s="2105"/>
      <c r="O101" s="2105"/>
      <c r="P101" s="2065"/>
    </row>
    <row r="102" spans="1:16" ht="15.75" thickBot="1">
      <c r="A102" s="1968"/>
      <c r="B102" s="1968"/>
      <c r="C102" s="2100" t="s">
        <v>462</v>
      </c>
      <c r="D102" s="1543"/>
      <c r="E102" s="2106" t="s">
        <v>463</v>
      </c>
      <c r="F102" s="2107"/>
      <c r="G102" s="2107"/>
      <c r="H102" s="2108"/>
      <c r="I102" s="2108"/>
      <c r="J102" s="1995"/>
      <c r="K102" s="1985"/>
      <c r="L102" s="1985"/>
      <c r="M102" s="1985"/>
      <c r="N102" s="1985"/>
      <c r="O102" s="1985"/>
      <c r="P102" s="2065"/>
    </row>
    <row r="103" spans="1:16" ht="38.25">
      <c r="A103" s="2109"/>
      <c r="B103" s="2109"/>
      <c r="C103" s="2110" t="s">
        <v>386</v>
      </c>
      <c r="D103" s="2011" t="s">
        <v>464</v>
      </c>
      <c r="E103" s="2011" t="s">
        <v>465</v>
      </c>
      <c r="F103" s="2011" t="s">
        <v>466</v>
      </c>
      <c r="G103" s="2111" t="s">
        <v>182</v>
      </c>
      <c r="H103" s="2112" t="s">
        <v>493</v>
      </c>
      <c r="I103" s="2112" t="s">
        <v>468</v>
      </c>
      <c r="J103" s="2110" t="s">
        <v>494</v>
      </c>
      <c r="K103" s="2113"/>
      <c r="L103" s="2012" t="s">
        <v>495</v>
      </c>
      <c r="M103" s="2012" t="s">
        <v>496</v>
      </c>
      <c r="N103" s="2012" t="s">
        <v>495</v>
      </c>
      <c r="O103" s="2012" t="s">
        <v>496</v>
      </c>
      <c r="P103" s="2012" t="s">
        <v>472</v>
      </c>
    </row>
    <row r="104" spans="1:16" ht="13.5" thickBot="1">
      <c r="A104" s="1968"/>
      <c r="B104" s="1968"/>
      <c r="C104" s="2114" t="s">
        <v>473</v>
      </c>
      <c r="D104" s="2115" t="s">
        <v>318</v>
      </c>
      <c r="E104" s="2116" t="s">
        <v>217</v>
      </c>
      <c r="F104" s="2116" t="s">
        <v>318</v>
      </c>
      <c r="G104" s="2116" t="s">
        <v>318</v>
      </c>
      <c r="H104" s="2016" t="s">
        <v>474</v>
      </c>
      <c r="I104" s="2013" t="s">
        <v>475</v>
      </c>
      <c r="J104" s="2116" t="s">
        <v>891</v>
      </c>
      <c r="K104" s="2117"/>
      <c r="L104" s="2015" t="s">
        <v>477</v>
      </c>
      <c r="M104" s="2015" t="s">
        <v>477</v>
      </c>
      <c r="N104" s="2015" t="s">
        <v>892</v>
      </c>
      <c r="O104" s="2015" t="s">
        <v>892</v>
      </c>
      <c r="P104" s="2015" t="s">
        <v>892</v>
      </c>
    </row>
    <row r="105" spans="1:16">
      <c r="A105" s="1968"/>
      <c r="B105" s="1968"/>
      <c r="C105" s="2118" t="s">
        <v>490</v>
      </c>
      <c r="D105" s="2119">
        <v>0</v>
      </c>
      <c r="E105" s="2026">
        <v>0</v>
      </c>
      <c r="F105" s="2120">
        <v>0</v>
      </c>
      <c r="G105" s="2121">
        <v>0</v>
      </c>
      <c r="H105" s="2122">
        <v>0</v>
      </c>
      <c r="I105" s="2123">
        <v>0</v>
      </c>
      <c r="J105" s="2124">
        <v>0</v>
      </c>
      <c r="K105" s="2124"/>
      <c r="L105" s="2125"/>
      <c r="M105" s="2126">
        <v>0</v>
      </c>
      <c r="N105" s="2125"/>
      <c r="O105" s="2126">
        <v>0</v>
      </c>
      <c r="P105" s="2126">
        <v>0</v>
      </c>
    </row>
    <row r="106" spans="1:16">
      <c r="A106" s="1968"/>
      <c r="B106" s="2063"/>
      <c r="C106" s="2118">
        <v>2014</v>
      </c>
      <c r="D106" s="2119">
        <v>0</v>
      </c>
      <c r="E106" s="2026">
        <v>0</v>
      </c>
      <c r="F106" s="2120">
        <v>0</v>
      </c>
      <c r="G106" s="2120">
        <v>0</v>
      </c>
      <c r="H106" s="2029">
        <v>0</v>
      </c>
      <c r="I106" s="2127">
        <v>0</v>
      </c>
      <c r="J106" s="2124">
        <v>0</v>
      </c>
      <c r="K106" s="2124"/>
      <c r="L106" s="2128"/>
      <c r="M106" s="2124">
        <v>0</v>
      </c>
      <c r="N106" s="2128"/>
      <c r="O106" s="2124">
        <v>0</v>
      </c>
      <c r="P106" s="2124">
        <v>0</v>
      </c>
    </row>
    <row r="107" spans="1:16">
      <c r="A107" s="1968"/>
      <c r="B107" s="2063" t="s">
        <v>339</v>
      </c>
      <c r="C107" s="2118">
        <v>2015</v>
      </c>
      <c r="D107" s="2119">
        <v>0</v>
      </c>
      <c r="E107" s="2026">
        <v>0</v>
      </c>
      <c r="F107" s="2120">
        <v>0</v>
      </c>
      <c r="G107" s="2120">
        <v>0</v>
      </c>
      <c r="H107" s="2029">
        <v>0</v>
      </c>
      <c r="I107" s="2127">
        <v>0</v>
      </c>
      <c r="J107" s="2124">
        <v>0</v>
      </c>
      <c r="K107" s="2124"/>
      <c r="L107" s="2128"/>
      <c r="M107" s="2124">
        <v>0</v>
      </c>
      <c r="N107" s="2128"/>
      <c r="O107" s="2124">
        <v>0</v>
      </c>
      <c r="P107" s="2124">
        <v>0</v>
      </c>
    </row>
    <row r="108" spans="1:16">
      <c r="A108" s="1968"/>
      <c r="B108" s="2063" t="s">
        <v>339</v>
      </c>
      <c r="C108" s="2118">
        <v>2016</v>
      </c>
      <c r="D108" s="2119">
        <v>0</v>
      </c>
      <c r="E108" s="2026">
        <v>0</v>
      </c>
      <c r="F108" s="2120">
        <v>0</v>
      </c>
      <c r="G108" s="2120">
        <v>0</v>
      </c>
      <c r="H108" s="2029">
        <v>0</v>
      </c>
      <c r="I108" s="2127">
        <v>0</v>
      </c>
      <c r="J108" s="2124">
        <v>0</v>
      </c>
      <c r="K108" s="2124"/>
      <c r="L108" s="2128"/>
      <c r="M108" s="2124">
        <v>0</v>
      </c>
      <c r="N108" s="2128"/>
      <c r="O108" s="2124">
        <v>0</v>
      </c>
      <c r="P108" s="2124">
        <v>0</v>
      </c>
    </row>
    <row r="109" spans="1:16">
      <c r="A109" s="1968"/>
      <c r="B109" s="2063" t="s">
        <v>339</v>
      </c>
      <c r="C109" s="2118">
        <v>2017</v>
      </c>
      <c r="D109" s="2119">
        <v>0</v>
      </c>
      <c r="E109" s="2026">
        <v>0</v>
      </c>
      <c r="F109" s="2120">
        <v>0</v>
      </c>
      <c r="G109" s="2120">
        <v>0</v>
      </c>
      <c r="H109" s="2029">
        <v>0</v>
      </c>
      <c r="I109" s="2127">
        <v>0</v>
      </c>
      <c r="J109" s="2124">
        <v>0</v>
      </c>
      <c r="K109" s="2124"/>
      <c r="L109" s="2128"/>
      <c r="M109" s="2124">
        <v>0</v>
      </c>
      <c r="N109" s="2128"/>
      <c r="O109" s="2124">
        <v>0</v>
      </c>
      <c r="P109" s="2124">
        <v>0</v>
      </c>
    </row>
    <row r="110" spans="1:16">
      <c r="A110" s="1968"/>
      <c r="B110" s="2063" t="s">
        <v>339</v>
      </c>
      <c r="C110" s="2118">
        <v>2018</v>
      </c>
      <c r="D110" s="2119">
        <v>0</v>
      </c>
      <c r="E110" s="2026">
        <v>0</v>
      </c>
      <c r="F110" s="2120">
        <v>0</v>
      </c>
      <c r="G110" s="2120">
        <v>0</v>
      </c>
      <c r="H110" s="2029">
        <v>0</v>
      </c>
      <c r="I110" s="2127">
        <v>0</v>
      </c>
      <c r="J110" s="2124">
        <v>0</v>
      </c>
      <c r="K110" s="2124"/>
      <c r="L110" s="2128"/>
      <c r="M110" s="2124">
        <v>0</v>
      </c>
      <c r="N110" s="2128"/>
      <c r="O110" s="2124">
        <v>0</v>
      </c>
      <c r="P110" s="2124">
        <v>0</v>
      </c>
    </row>
    <row r="111" spans="1:16">
      <c r="A111" s="1968"/>
      <c r="B111" s="2063" t="s">
        <v>339</v>
      </c>
      <c r="C111" s="2118">
        <v>2019</v>
      </c>
      <c r="D111" s="2119">
        <v>0</v>
      </c>
      <c r="E111" s="2026">
        <v>0</v>
      </c>
      <c r="F111" s="2120">
        <v>0</v>
      </c>
      <c r="G111" s="2120">
        <v>0</v>
      </c>
      <c r="H111" s="2029">
        <v>0</v>
      </c>
      <c r="I111" s="2127">
        <v>0</v>
      </c>
      <c r="J111" s="2124">
        <v>0</v>
      </c>
      <c r="K111" s="2124"/>
      <c r="L111" s="2128"/>
      <c r="M111" s="2124">
        <v>0</v>
      </c>
      <c r="N111" s="2128"/>
      <c r="O111" s="2124">
        <v>0</v>
      </c>
      <c r="P111" s="2124">
        <v>0</v>
      </c>
    </row>
    <row r="112" spans="1:16">
      <c r="A112" s="1968"/>
      <c r="B112" s="2063" t="s">
        <v>339</v>
      </c>
      <c r="C112" s="2118">
        <v>2020</v>
      </c>
      <c r="D112" s="2119">
        <v>0</v>
      </c>
      <c r="E112" s="2026">
        <v>0</v>
      </c>
      <c r="F112" s="2120">
        <v>0</v>
      </c>
      <c r="G112" s="2120">
        <v>0</v>
      </c>
      <c r="H112" s="2029">
        <v>0</v>
      </c>
      <c r="I112" s="2127">
        <v>0</v>
      </c>
      <c r="J112" s="2124">
        <v>0</v>
      </c>
      <c r="K112" s="2124"/>
      <c r="L112" s="2128"/>
      <c r="M112" s="2124">
        <v>0</v>
      </c>
      <c r="N112" s="2128"/>
      <c r="O112" s="2124">
        <v>0</v>
      </c>
      <c r="P112" s="2124">
        <v>0</v>
      </c>
    </row>
    <row r="113" spans="1:16">
      <c r="A113" s="1968"/>
      <c r="B113" s="2063" t="s">
        <v>339</v>
      </c>
      <c r="C113" s="2118">
        <v>2021</v>
      </c>
      <c r="D113" s="2119">
        <v>0</v>
      </c>
      <c r="E113" s="2026">
        <v>0</v>
      </c>
      <c r="F113" s="2120">
        <v>0</v>
      </c>
      <c r="G113" s="2120">
        <v>0</v>
      </c>
      <c r="H113" s="2029">
        <v>0</v>
      </c>
      <c r="I113" s="2127">
        <v>0</v>
      </c>
      <c r="J113" s="2124">
        <v>0</v>
      </c>
      <c r="K113" s="2124"/>
      <c r="L113" s="2128"/>
      <c r="M113" s="2124">
        <v>0</v>
      </c>
      <c r="N113" s="2128"/>
      <c r="O113" s="2124">
        <v>0</v>
      </c>
      <c r="P113" s="2124">
        <v>0</v>
      </c>
    </row>
    <row r="114" spans="1:16">
      <c r="A114" s="1968"/>
      <c r="B114" s="2063" t="s">
        <v>339</v>
      </c>
      <c r="C114" s="2118">
        <v>2022</v>
      </c>
      <c r="D114" s="2119">
        <v>0</v>
      </c>
      <c r="E114" s="2026">
        <v>0</v>
      </c>
      <c r="F114" s="2120">
        <v>0</v>
      </c>
      <c r="G114" s="2120">
        <v>0</v>
      </c>
      <c r="H114" s="2029">
        <v>0</v>
      </c>
      <c r="I114" s="2127">
        <v>0</v>
      </c>
      <c r="J114" s="2124">
        <v>0</v>
      </c>
      <c r="K114" s="2124"/>
      <c r="L114" s="2128"/>
      <c r="M114" s="2124">
        <v>0</v>
      </c>
      <c r="N114" s="2128"/>
      <c r="O114" s="2124">
        <v>0</v>
      </c>
      <c r="P114" s="2124">
        <v>0</v>
      </c>
    </row>
    <row r="115" spans="1:16">
      <c r="A115" s="1968"/>
      <c r="B115" s="2063" t="s">
        <v>339</v>
      </c>
      <c r="C115" s="2118">
        <v>2023</v>
      </c>
      <c r="D115" s="2119">
        <v>0</v>
      </c>
      <c r="E115" s="2026">
        <v>0</v>
      </c>
      <c r="F115" s="2120">
        <v>0</v>
      </c>
      <c r="G115" s="2120">
        <v>0</v>
      </c>
      <c r="H115" s="2029">
        <v>0</v>
      </c>
      <c r="I115" s="2127">
        <v>0</v>
      </c>
      <c r="J115" s="2124">
        <v>0</v>
      </c>
      <c r="K115" s="2124"/>
      <c r="L115" s="2128"/>
      <c r="M115" s="2124">
        <v>0</v>
      </c>
      <c r="N115" s="2128"/>
      <c r="O115" s="2124">
        <v>0</v>
      </c>
      <c r="P115" s="2124">
        <v>0</v>
      </c>
    </row>
    <row r="116" spans="1:16">
      <c r="A116" s="1968"/>
      <c r="B116" s="2063" t="s">
        <v>339</v>
      </c>
      <c r="C116" s="2118">
        <v>2024</v>
      </c>
      <c r="D116" s="2119">
        <v>0</v>
      </c>
      <c r="E116" s="2026">
        <v>0</v>
      </c>
      <c r="F116" s="2120">
        <v>0</v>
      </c>
      <c r="G116" s="2120">
        <v>0</v>
      </c>
      <c r="H116" s="2029">
        <v>0</v>
      </c>
      <c r="I116" s="2127">
        <v>0</v>
      </c>
      <c r="J116" s="2124">
        <v>0</v>
      </c>
      <c r="K116" s="2124"/>
      <c r="L116" s="2128"/>
      <c r="M116" s="2124">
        <v>0</v>
      </c>
      <c r="N116" s="2128"/>
      <c r="O116" s="2124">
        <v>0</v>
      </c>
      <c r="P116" s="2124">
        <v>0</v>
      </c>
    </row>
    <row r="117" spans="1:16">
      <c r="A117" s="1968"/>
      <c r="B117" s="2063" t="s">
        <v>339</v>
      </c>
      <c r="C117" s="2118">
        <v>2025</v>
      </c>
      <c r="D117" s="2119">
        <v>0</v>
      </c>
      <c r="E117" s="2026">
        <v>0</v>
      </c>
      <c r="F117" s="2120">
        <v>0</v>
      </c>
      <c r="G117" s="2120">
        <v>0</v>
      </c>
      <c r="H117" s="2029">
        <v>0</v>
      </c>
      <c r="I117" s="2127">
        <v>0</v>
      </c>
      <c r="J117" s="2124">
        <v>0</v>
      </c>
      <c r="K117" s="2124"/>
      <c r="L117" s="2128"/>
      <c r="M117" s="2124">
        <v>0</v>
      </c>
      <c r="N117" s="2128"/>
      <c r="O117" s="2124">
        <v>0</v>
      </c>
      <c r="P117" s="2124">
        <v>0</v>
      </c>
    </row>
    <row r="118" spans="1:16">
      <c r="A118" s="1968"/>
      <c r="B118" s="2063" t="s">
        <v>339</v>
      </c>
      <c r="C118" s="2118">
        <v>2026</v>
      </c>
      <c r="D118" s="2119">
        <v>0</v>
      </c>
      <c r="E118" s="2026">
        <v>0</v>
      </c>
      <c r="F118" s="2120">
        <v>0</v>
      </c>
      <c r="G118" s="2120">
        <v>0</v>
      </c>
      <c r="H118" s="2029">
        <v>0</v>
      </c>
      <c r="I118" s="2127">
        <v>0</v>
      </c>
      <c r="J118" s="2124">
        <v>0</v>
      </c>
      <c r="K118" s="2124"/>
      <c r="L118" s="2128"/>
      <c r="M118" s="2124">
        <v>0</v>
      </c>
      <c r="N118" s="2128"/>
      <c r="O118" s="2124">
        <v>0</v>
      </c>
      <c r="P118" s="2124">
        <v>0</v>
      </c>
    </row>
    <row r="119" spans="1:16">
      <c r="B119" s="2063" t="s">
        <v>339</v>
      </c>
      <c r="C119" s="2118">
        <v>2027</v>
      </c>
      <c r="D119" s="2119">
        <v>0</v>
      </c>
      <c r="E119" s="2026">
        <v>0</v>
      </c>
      <c r="F119" s="2120">
        <v>0</v>
      </c>
      <c r="G119" s="2120">
        <v>0</v>
      </c>
      <c r="H119" s="2029">
        <v>0</v>
      </c>
      <c r="I119" s="2127">
        <v>0</v>
      </c>
      <c r="J119" s="2124">
        <v>0</v>
      </c>
      <c r="K119" s="2124"/>
      <c r="L119" s="2128"/>
      <c r="M119" s="2124">
        <v>0</v>
      </c>
      <c r="N119" s="2128"/>
      <c r="O119" s="2124">
        <v>0</v>
      </c>
      <c r="P119" s="2124">
        <v>0</v>
      </c>
    </row>
    <row r="120" spans="1:16">
      <c r="B120" s="2063" t="s">
        <v>339</v>
      </c>
      <c r="C120" s="2118">
        <v>2028</v>
      </c>
      <c r="D120" s="2119">
        <v>0</v>
      </c>
      <c r="E120" s="2026">
        <v>0</v>
      </c>
      <c r="F120" s="2120">
        <v>0</v>
      </c>
      <c r="G120" s="2120">
        <v>0</v>
      </c>
      <c r="H120" s="2029">
        <v>0</v>
      </c>
      <c r="I120" s="2127">
        <v>0</v>
      </c>
      <c r="J120" s="2124">
        <v>0</v>
      </c>
      <c r="K120" s="2124"/>
      <c r="L120" s="2128"/>
      <c r="M120" s="2124">
        <v>0</v>
      </c>
      <c r="N120" s="2128"/>
      <c r="O120" s="2124">
        <v>0</v>
      </c>
      <c r="P120" s="2124">
        <v>0</v>
      </c>
    </row>
    <row r="121" spans="1:16">
      <c r="B121" s="2063" t="s">
        <v>339</v>
      </c>
      <c r="C121" s="2118">
        <v>2029</v>
      </c>
      <c r="D121" s="2119">
        <v>0</v>
      </c>
      <c r="E121" s="2026">
        <v>0</v>
      </c>
      <c r="F121" s="2120">
        <v>0</v>
      </c>
      <c r="G121" s="2120">
        <v>0</v>
      </c>
      <c r="H121" s="2029">
        <v>0</v>
      </c>
      <c r="I121" s="2127">
        <v>0</v>
      </c>
      <c r="J121" s="2124">
        <v>0</v>
      </c>
      <c r="K121" s="2124"/>
      <c r="L121" s="2128"/>
      <c r="M121" s="2124">
        <v>0</v>
      </c>
      <c r="N121" s="2128"/>
      <c r="O121" s="2124">
        <v>0</v>
      </c>
      <c r="P121" s="2124">
        <v>0</v>
      </c>
    </row>
    <row r="122" spans="1:16">
      <c r="B122" s="2063" t="s">
        <v>339</v>
      </c>
      <c r="C122" s="2118">
        <v>2030</v>
      </c>
      <c r="D122" s="2119">
        <v>0</v>
      </c>
      <c r="E122" s="2026">
        <v>0</v>
      </c>
      <c r="F122" s="2120">
        <v>0</v>
      </c>
      <c r="G122" s="2120">
        <v>0</v>
      </c>
      <c r="H122" s="2029">
        <v>0</v>
      </c>
      <c r="I122" s="2127">
        <v>0</v>
      </c>
      <c r="J122" s="2124">
        <v>0</v>
      </c>
      <c r="K122" s="2124"/>
      <c r="L122" s="2128"/>
      <c r="M122" s="2124">
        <v>0</v>
      </c>
      <c r="N122" s="2128"/>
      <c r="O122" s="2124">
        <v>0</v>
      </c>
      <c r="P122" s="2124">
        <v>0</v>
      </c>
    </row>
    <row r="123" spans="1:16">
      <c r="B123" s="2063" t="s">
        <v>339</v>
      </c>
      <c r="C123" s="2118">
        <v>2031</v>
      </c>
      <c r="D123" s="2119">
        <v>0</v>
      </c>
      <c r="E123" s="2026">
        <v>0</v>
      </c>
      <c r="F123" s="2120">
        <v>0</v>
      </c>
      <c r="G123" s="2120">
        <v>0</v>
      </c>
      <c r="H123" s="2029">
        <v>0</v>
      </c>
      <c r="I123" s="2127">
        <v>0</v>
      </c>
      <c r="J123" s="2124">
        <v>0</v>
      </c>
      <c r="K123" s="2124"/>
      <c r="L123" s="2128"/>
      <c r="M123" s="2124">
        <v>0</v>
      </c>
      <c r="N123" s="2128"/>
      <c r="O123" s="2124">
        <v>0</v>
      </c>
      <c r="P123" s="2124">
        <v>0</v>
      </c>
    </row>
    <row r="124" spans="1:16">
      <c r="B124" s="2063" t="s">
        <v>339</v>
      </c>
      <c r="C124" s="2118">
        <v>2032</v>
      </c>
      <c r="D124" s="2119">
        <v>0</v>
      </c>
      <c r="E124" s="2026">
        <v>0</v>
      </c>
      <c r="F124" s="2120">
        <v>0</v>
      </c>
      <c r="G124" s="2120">
        <v>0</v>
      </c>
      <c r="H124" s="2029">
        <v>0</v>
      </c>
      <c r="I124" s="2127">
        <v>0</v>
      </c>
      <c r="J124" s="2124">
        <v>0</v>
      </c>
      <c r="K124" s="2124"/>
      <c r="L124" s="2128"/>
      <c r="M124" s="2124">
        <v>0</v>
      </c>
      <c r="N124" s="2128"/>
      <c r="O124" s="2124">
        <v>0</v>
      </c>
      <c r="P124" s="2124">
        <v>0</v>
      </c>
    </row>
    <row r="125" spans="1:16">
      <c r="B125" s="2063" t="s">
        <v>339</v>
      </c>
      <c r="C125" s="2118">
        <v>2033</v>
      </c>
      <c r="D125" s="2119">
        <v>0</v>
      </c>
      <c r="E125" s="2026">
        <v>0</v>
      </c>
      <c r="F125" s="2120">
        <v>0</v>
      </c>
      <c r="G125" s="2120">
        <v>0</v>
      </c>
      <c r="H125" s="2029">
        <v>0</v>
      </c>
      <c r="I125" s="2127">
        <v>0</v>
      </c>
      <c r="J125" s="2124">
        <v>0</v>
      </c>
      <c r="K125" s="2124"/>
      <c r="L125" s="2128"/>
      <c r="M125" s="2124">
        <v>0</v>
      </c>
      <c r="N125" s="2128"/>
      <c r="O125" s="2124">
        <v>0</v>
      </c>
      <c r="P125" s="2124">
        <v>0</v>
      </c>
    </row>
    <row r="126" spans="1:16">
      <c r="B126" s="2063" t="s">
        <v>339</v>
      </c>
      <c r="C126" s="2118">
        <v>2034</v>
      </c>
      <c r="D126" s="2119">
        <v>0</v>
      </c>
      <c r="E126" s="2026">
        <v>0</v>
      </c>
      <c r="F126" s="2120">
        <v>0</v>
      </c>
      <c r="G126" s="2120">
        <v>0</v>
      </c>
      <c r="H126" s="2029">
        <v>0</v>
      </c>
      <c r="I126" s="2127">
        <v>0</v>
      </c>
      <c r="J126" s="2124">
        <v>0</v>
      </c>
      <c r="K126" s="2124"/>
      <c r="L126" s="2128"/>
      <c r="M126" s="2124">
        <v>0</v>
      </c>
      <c r="N126" s="2128"/>
      <c r="O126" s="2124">
        <v>0</v>
      </c>
      <c r="P126" s="2124">
        <v>0</v>
      </c>
    </row>
    <row r="127" spans="1:16">
      <c r="B127" s="2063" t="s">
        <v>339</v>
      </c>
      <c r="C127" s="2118">
        <v>2035</v>
      </c>
      <c r="D127" s="2119">
        <v>0</v>
      </c>
      <c r="E127" s="2026">
        <v>0</v>
      </c>
      <c r="F127" s="2120">
        <v>0</v>
      </c>
      <c r="G127" s="2120">
        <v>0</v>
      </c>
      <c r="H127" s="2029">
        <v>0</v>
      </c>
      <c r="I127" s="2127">
        <v>0</v>
      </c>
      <c r="J127" s="2124">
        <v>0</v>
      </c>
      <c r="K127" s="2124"/>
      <c r="L127" s="2128"/>
      <c r="M127" s="2124">
        <v>0</v>
      </c>
      <c r="N127" s="2128"/>
      <c r="O127" s="2124">
        <v>0</v>
      </c>
      <c r="P127" s="2124">
        <v>0</v>
      </c>
    </row>
    <row r="128" spans="1:16">
      <c r="B128" s="2063" t="s">
        <v>339</v>
      </c>
      <c r="C128" s="2118">
        <v>2036</v>
      </c>
      <c r="D128" s="2119">
        <v>0</v>
      </c>
      <c r="E128" s="2026">
        <v>0</v>
      </c>
      <c r="F128" s="2120">
        <v>0</v>
      </c>
      <c r="G128" s="2120">
        <v>0</v>
      </c>
      <c r="H128" s="2029">
        <v>0</v>
      </c>
      <c r="I128" s="2127">
        <v>0</v>
      </c>
      <c r="J128" s="2124">
        <v>0</v>
      </c>
      <c r="K128" s="2124"/>
      <c r="L128" s="2128"/>
      <c r="M128" s="2124">
        <v>0</v>
      </c>
      <c r="N128" s="2128"/>
      <c r="O128" s="2124">
        <v>0</v>
      </c>
      <c r="P128" s="2124">
        <v>0</v>
      </c>
    </row>
    <row r="129" spans="2:18">
      <c r="B129" s="2063" t="s">
        <v>339</v>
      </c>
      <c r="C129" s="2118">
        <v>2037</v>
      </c>
      <c r="D129" s="2119">
        <v>0</v>
      </c>
      <c r="E129" s="2026">
        <v>0</v>
      </c>
      <c r="F129" s="2120">
        <v>0</v>
      </c>
      <c r="G129" s="2120">
        <v>0</v>
      </c>
      <c r="H129" s="2029">
        <v>0</v>
      </c>
      <c r="I129" s="2127">
        <v>0</v>
      </c>
      <c r="J129" s="2124">
        <v>0</v>
      </c>
      <c r="K129" s="2124"/>
      <c r="L129" s="2128"/>
      <c r="M129" s="2124">
        <v>0</v>
      </c>
      <c r="N129" s="2128"/>
      <c r="O129" s="2124">
        <v>0</v>
      </c>
      <c r="P129" s="2124">
        <v>0</v>
      </c>
    </row>
    <row r="130" spans="2:18">
      <c r="B130" s="2063" t="s">
        <v>339</v>
      </c>
      <c r="C130" s="2118">
        <v>2038</v>
      </c>
      <c r="D130" s="2119">
        <v>0</v>
      </c>
      <c r="E130" s="2026">
        <v>0</v>
      </c>
      <c r="F130" s="2120">
        <v>0</v>
      </c>
      <c r="G130" s="2120">
        <v>0</v>
      </c>
      <c r="H130" s="2029">
        <v>0</v>
      </c>
      <c r="I130" s="2127">
        <v>0</v>
      </c>
      <c r="J130" s="2124">
        <v>0</v>
      </c>
      <c r="K130" s="2124"/>
      <c r="L130" s="2128"/>
      <c r="M130" s="2124">
        <v>0</v>
      </c>
      <c r="N130" s="2128"/>
      <c r="O130" s="2124">
        <v>0</v>
      </c>
      <c r="P130" s="2124">
        <v>0</v>
      </c>
    </row>
    <row r="131" spans="2:18">
      <c r="B131" s="2063" t="s">
        <v>339</v>
      </c>
      <c r="C131" s="2118">
        <v>2039</v>
      </c>
      <c r="D131" s="2119">
        <v>0</v>
      </c>
      <c r="E131" s="2026">
        <v>0</v>
      </c>
      <c r="F131" s="2120">
        <v>0</v>
      </c>
      <c r="G131" s="2120">
        <v>0</v>
      </c>
      <c r="H131" s="2029">
        <v>0</v>
      </c>
      <c r="I131" s="2127">
        <v>0</v>
      </c>
      <c r="J131" s="2124">
        <v>0</v>
      </c>
      <c r="K131" s="2124"/>
      <c r="L131" s="2128"/>
      <c r="M131" s="2124">
        <v>0</v>
      </c>
      <c r="N131" s="2128"/>
      <c r="O131" s="2124">
        <v>0</v>
      </c>
      <c r="P131" s="2124">
        <v>0</v>
      </c>
    </row>
    <row r="132" spans="2:18">
      <c r="B132" s="2063" t="s">
        <v>339</v>
      </c>
      <c r="C132" s="2118">
        <v>2040</v>
      </c>
      <c r="D132" s="2119">
        <v>0</v>
      </c>
      <c r="E132" s="2026">
        <v>0</v>
      </c>
      <c r="F132" s="2120">
        <v>0</v>
      </c>
      <c r="G132" s="2120">
        <v>0</v>
      </c>
      <c r="H132" s="2029">
        <v>0</v>
      </c>
      <c r="I132" s="2127">
        <v>0</v>
      </c>
      <c r="J132" s="2124">
        <v>0</v>
      </c>
      <c r="K132" s="2124"/>
      <c r="L132" s="2128"/>
      <c r="M132" s="2124">
        <v>0</v>
      </c>
      <c r="N132" s="2128"/>
      <c r="O132" s="2124">
        <v>0</v>
      </c>
      <c r="P132" s="2124">
        <v>0</v>
      </c>
      <c r="R132" s="2053"/>
    </row>
    <row r="133" spans="2:18">
      <c r="B133" s="2063" t="s">
        <v>339</v>
      </c>
      <c r="C133" s="2118">
        <v>2041</v>
      </c>
      <c r="D133" s="2119">
        <v>0</v>
      </c>
      <c r="E133" s="2026">
        <v>0</v>
      </c>
      <c r="F133" s="2120">
        <v>0</v>
      </c>
      <c r="G133" s="2120">
        <v>0</v>
      </c>
      <c r="H133" s="2029">
        <v>0</v>
      </c>
      <c r="I133" s="2127">
        <v>0</v>
      </c>
      <c r="J133" s="2124">
        <v>0</v>
      </c>
      <c r="K133" s="2124"/>
      <c r="L133" s="2128"/>
      <c r="M133" s="2124">
        <v>0</v>
      </c>
      <c r="N133" s="2128"/>
      <c r="O133" s="2124">
        <v>0</v>
      </c>
      <c r="P133" s="2124">
        <v>0</v>
      </c>
      <c r="R133" s="791"/>
    </row>
    <row r="134" spans="2:18">
      <c r="B134" s="2063" t="s">
        <v>339</v>
      </c>
      <c r="C134" s="2118">
        <v>2042</v>
      </c>
      <c r="D134" s="2119">
        <v>0</v>
      </c>
      <c r="E134" s="2026">
        <v>0</v>
      </c>
      <c r="F134" s="2120">
        <v>0</v>
      </c>
      <c r="G134" s="2120">
        <v>0</v>
      </c>
      <c r="H134" s="2029">
        <v>0</v>
      </c>
      <c r="I134" s="2127">
        <v>0</v>
      </c>
      <c r="J134" s="2124">
        <v>0</v>
      </c>
      <c r="K134" s="2124"/>
      <c r="L134" s="2128"/>
      <c r="M134" s="2124">
        <v>0</v>
      </c>
      <c r="N134" s="2128"/>
      <c r="O134" s="2124">
        <v>0</v>
      </c>
      <c r="P134" s="2124">
        <v>0</v>
      </c>
      <c r="R134" s="791"/>
    </row>
    <row r="135" spans="2:18">
      <c r="B135" s="2063" t="s">
        <v>339</v>
      </c>
      <c r="C135" s="2118">
        <v>2043</v>
      </c>
      <c r="D135" s="2119">
        <v>0</v>
      </c>
      <c r="E135" s="2026">
        <v>0</v>
      </c>
      <c r="F135" s="2120">
        <v>0</v>
      </c>
      <c r="G135" s="2120">
        <v>0</v>
      </c>
      <c r="H135" s="2029">
        <v>0</v>
      </c>
      <c r="I135" s="2127">
        <v>0</v>
      </c>
      <c r="J135" s="2124">
        <v>0</v>
      </c>
      <c r="K135" s="2124"/>
      <c r="L135" s="2128"/>
      <c r="M135" s="2124">
        <v>0</v>
      </c>
      <c r="N135" s="2128"/>
      <c r="O135" s="2124">
        <v>0</v>
      </c>
      <c r="P135" s="2124">
        <v>0</v>
      </c>
      <c r="R135" s="791"/>
    </row>
    <row r="136" spans="2:18">
      <c r="B136" s="2063" t="s">
        <v>339</v>
      </c>
      <c r="C136" s="2118">
        <v>2044</v>
      </c>
      <c r="D136" s="2119">
        <v>0</v>
      </c>
      <c r="E136" s="2026">
        <v>0</v>
      </c>
      <c r="F136" s="2120">
        <v>0</v>
      </c>
      <c r="G136" s="2120">
        <v>0</v>
      </c>
      <c r="H136" s="2029">
        <v>0</v>
      </c>
      <c r="I136" s="2127">
        <v>0</v>
      </c>
      <c r="J136" s="2124">
        <v>0</v>
      </c>
      <c r="K136" s="2124"/>
      <c r="L136" s="2128"/>
      <c r="M136" s="2124">
        <v>0</v>
      </c>
      <c r="N136" s="2128"/>
      <c r="O136" s="2124">
        <v>0</v>
      </c>
      <c r="P136" s="2124">
        <v>0</v>
      </c>
      <c r="R136" s="791"/>
    </row>
    <row r="137" spans="2:18">
      <c r="B137" s="2063" t="s">
        <v>339</v>
      </c>
      <c r="C137" s="2118">
        <v>2045</v>
      </c>
      <c r="D137" s="2119">
        <v>0</v>
      </c>
      <c r="E137" s="2026">
        <v>0</v>
      </c>
      <c r="F137" s="2120">
        <v>0</v>
      </c>
      <c r="G137" s="2120">
        <v>0</v>
      </c>
      <c r="H137" s="2029">
        <v>0</v>
      </c>
      <c r="I137" s="2127">
        <v>0</v>
      </c>
      <c r="J137" s="2124">
        <v>0</v>
      </c>
      <c r="K137" s="2124"/>
      <c r="L137" s="2128"/>
      <c r="M137" s="2124">
        <v>0</v>
      </c>
      <c r="N137" s="2128"/>
      <c r="O137" s="2124">
        <v>0</v>
      </c>
      <c r="P137" s="2124">
        <v>0</v>
      </c>
      <c r="R137" s="791"/>
    </row>
    <row r="138" spans="2:18">
      <c r="B138" s="2063" t="s">
        <v>339</v>
      </c>
      <c r="C138" s="2118">
        <v>2046</v>
      </c>
      <c r="D138" s="2119">
        <v>0</v>
      </c>
      <c r="E138" s="2026">
        <v>0</v>
      </c>
      <c r="F138" s="2120">
        <v>0</v>
      </c>
      <c r="G138" s="2120">
        <v>0</v>
      </c>
      <c r="H138" s="2029">
        <v>0</v>
      </c>
      <c r="I138" s="2127">
        <v>0</v>
      </c>
      <c r="J138" s="2124">
        <v>0</v>
      </c>
      <c r="K138" s="2124"/>
      <c r="L138" s="2128"/>
      <c r="M138" s="2124">
        <v>0</v>
      </c>
      <c r="N138" s="2128"/>
      <c r="O138" s="2124">
        <v>0</v>
      </c>
      <c r="P138" s="2124">
        <v>0</v>
      </c>
      <c r="R138" s="791"/>
    </row>
    <row r="139" spans="2:18">
      <c r="B139" s="2063" t="s">
        <v>339</v>
      </c>
      <c r="C139" s="2118">
        <v>2047</v>
      </c>
      <c r="D139" s="2119">
        <v>0</v>
      </c>
      <c r="E139" s="2026">
        <v>0</v>
      </c>
      <c r="F139" s="2120">
        <v>0</v>
      </c>
      <c r="G139" s="2120">
        <v>0</v>
      </c>
      <c r="H139" s="2029">
        <v>0</v>
      </c>
      <c r="I139" s="2127">
        <v>0</v>
      </c>
      <c r="J139" s="2124">
        <v>0</v>
      </c>
      <c r="K139" s="2124"/>
      <c r="L139" s="2128"/>
      <c r="M139" s="2124">
        <v>0</v>
      </c>
      <c r="N139" s="2128"/>
      <c r="O139" s="2124">
        <v>0</v>
      </c>
      <c r="P139" s="2124">
        <v>0</v>
      </c>
      <c r="R139" s="791"/>
    </row>
    <row r="140" spans="2:18">
      <c r="B140" s="2063" t="s">
        <v>339</v>
      </c>
      <c r="C140" s="2118">
        <v>2048</v>
      </c>
      <c r="D140" s="2119">
        <v>0</v>
      </c>
      <c r="E140" s="2026">
        <v>0</v>
      </c>
      <c r="F140" s="2120">
        <v>0</v>
      </c>
      <c r="G140" s="2120">
        <v>0</v>
      </c>
      <c r="H140" s="2029">
        <v>0</v>
      </c>
      <c r="I140" s="2127">
        <v>0</v>
      </c>
      <c r="J140" s="2124">
        <v>0</v>
      </c>
      <c r="K140" s="2124"/>
      <c r="L140" s="2128"/>
      <c r="M140" s="2124">
        <v>0</v>
      </c>
      <c r="N140" s="2128"/>
      <c r="O140" s="2124">
        <v>0</v>
      </c>
      <c r="P140" s="2124">
        <v>0</v>
      </c>
      <c r="R140" s="791"/>
    </row>
    <row r="141" spans="2:18">
      <c r="B141" s="2063" t="s">
        <v>339</v>
      </c>
      <c r="C141" s="2118">
        <v>2049</v>
      </c>
      <c r="D141" s="2119">
        <v>0</v>
      </c>
      <c r="E141" s="2026">
        <v>0</v>
      </c>
      <c r="F141" s="2120">
        <v>0</v>
      </c>
      <c r="G141" s="2120">
        <v>0</v>
      </c>
      <c r="H141" s="2029">
        <v>0</v>
      </c>
      <c r="I141" s="2127">
        <v>0</v>
      </c>
      <c r="J141" s="2124">
        <v>0</v>
      </c>
      <c r="K141" s="2124"/>
      <c r="L141" s="2128"/>
      <c r="M141" s="2124">
        <v>0</v>
      </c>
      <c r="N141" s="2128"/>
      <c r="O141" s="2124">
        <v>0</v>
      </c>
      <c r="P141" s="2124">
        <v>0</v>
      </c>
      <c r="R141" s="791"/>
    </row>
    <row r="142" spans="2:18">
      <c r="B142" s="2063" t="s">
        <v>339</v>
      </c>
      <c r="C142" s="2118">
        <v>2050</v>
      </c>
      <c r="D142" s="2119">
        <v>0</v>
      </c>
      <c r="E142" s="2026">
        <v>0</v>
      </c>
      <c r="F142" s="2120">
        <v>0</v>
      </c>
      <c r="G142" s="2120">
        <v>0</v>
      </c>
      <c r="H142" s="2029">
        <v>0</v>
      </c>
      <c r="I142" s="2127">
        <v>0</v>
      </c>
      <c r="J142" s="2124">
        <v>0</v>
      </c>
      <c r="K142" s="2124"/>
      <c r="L142" s="2128"/>
      <c r="M142" s="2124">
        <v>0</v>
      </c>
      <c r="N142" s="2128"/>
      <c r="O142" s="2124">
        <v>0</v>
      </c>
      <c r="P142" s="2124">
        <v>0</v>
      </c>
      <c r="R142" s="791"/>
    </row>
    <row r="143" spans="2:18">
      <c r="B143" s="2063" t="s">
        <v>339</v>
      </c>
      <c r="C143" s="2118">
        <v>2051</v>
      </c>
      <c r="D143" s="2119">
        <v>0</v>
      </c>
      <c r="E143" s="2026">
        <v>0</v>
      </c>
      <c r="F143" s="2120">
        <v>0</v>
      </c>
      <c r="G143" s="2120">
        <v>0</v>
      </c>
      <c r="H143" s="2029">
        <v>0</v>
      </c>
      <c r="I143" s="2127">
        <v>0</v>
      </c>
      <c r="J143" s="2124">
        <v>0</v>
      </c>
      <c r="K143" s="2124"/>
      <c r="L143" s="2128"/>
      <c r="M143" s="2124">
        <v>0</v>
      </c>
      <c r="N143" s="2128"/>
      <c r="O143" s="2124">
        <v>0</v>
      </c>
      <c r="P143" s="2124">
        <v>0</v>
      </c>
      <c r="R143" s="791"/>
    </row>
    <row r="144" spans="2:18">
      <c r="B144" s="2063" t="s">
        <v>339</v>
      </c>
      <c r="C144" s="2118">
        <v>2052</v>
      </c>
      <c r="D144" s="2119">
        <v>0</v>
      </c>
      <c r="E144" s="2026">
        <v>0</v>
      </c>
      <c r="F144" s="2120">
        <v>0</v>
      </c>
      <c r="G144" s="2120">
        <v>0</v>
      </c>
      <c r="H144" s="2029">
        <v>0</v>
      </c>
      <c r="I144" s="2127">
        <v>0</v>
      </c>
      <c r="J144" s="2124">
        <v>0</v>
      </c>
      <c r="K144" s="2124"/>
      <c r="L144" s="2128"/>
      <c r="M144" s="2124">
        <v>0</v>
      </c>
      <c r="N144" s="2128"/>
      <c r="O144" s="2124">
        <v>0</v>
      </c>
      <c r="P144" s="2124">
        <v>0</v>
      </c>
      <c r="R144" s="791"/>
    </row>
    <row r="145" spans="2:18">
      <c r="B145" s="2063" t="s">
        <v>339</v>
      </c>
      <c r="C145" s="2118">
        <v>2053</v>
      </c>
      <c r="D145" s="2119">
        <v>0</v>
      </c>
      <c r="E145" s="2026">
        <v>0</v>
      </c>
      <c r="F145" s="2120">
        <v>0</v>
      </c>
      <c r="G145" s="2120">
        <v>0</v>
      </c>
      <c r="H145" s="2029">
        <v>0</v>
      </c>
      <c r="I145" s="2127">
        <v>0</v>
      </c>
      <c r="J145" s="2124">
        <v>0</v>
      </c>
      <c r="K145" s="2124"/>
      <c r="L145" s="2128"/>
      <c r="M145" s="2124">
        <v>0</v>
      </c>
      <c r="N145" s="2128"/>
      <c r="O145" s="2124">
        <v>0</v>
      </c>
      <c r="P145" s="2124">
        <v>0</v>
      </c>
      <c r="R145" s="791"/>
    </row>
    <row r="146" spans="2:18">
      <c r="B146" s="2063" t="s">
        <v>339</v>
      </c>
      <c r="C146" s="2118">
        <v>2054</v>
      </c>
      <c r="D146" s="2119">
        <v>0</v>
      </c>
      <c r="E146" s="2026">
        <v>0</v>
      </c>
      <c r="F146" s="2120">
        <v>0</v>
      </c>
      <c r="G146" s="2120">
        <v>0</v>
      </c>
      <c r="H146" s="2029">
        <v>0</v>
      </c>
      <c r="I146" s="2127">
        <v>0</v>
      </c>
      <c r="J146" s="2124">
        <v>0</v>
      </c>
      <c r="K146" s="2124"/>
      <c r="L146" s="2128"/>
      <c r="M146" s="2124">
        <v>0</v>
      </c>
      <c r="N146" s="2128"/>
      <c r="O146" s="2124">
        <v>0</v>
      </c>
      <c r="P146" s="2124">
        <v>0</v>
      </c>
      <c r="R146" s="791"/>
    </row>
    <row r="147" spans="2:18">
      <c r="B147" s="2063" t="s">
        <v>339</v>
      </c>
      <c r="C147" s="2118">
        <v>2055</v>
      </c>
      <c r="D147" s="2119">
        <v>0</v>
      </c>
      <c r="E147" s="2026">
        <v>0</v>
      </c>
      <c r="F147" s="2120">
        <v>0</v>
      </c>
      <c r="G147" s="2120">
        <v>0</v>
      </c>
      <c r="H147" s="2029">
        <v>0</v>
      </c>
      <c r="I147" s="2127">
        <v>0</v>
      </c>
      <c r="J147" s="2124">
        <v>0</v>
      </c>
      <c r="K147" s="2124"/>
      <c r="L147" s="2128"/>
      <c r="M147" s="2124">
        <v>0</v>
      </c>
      <c r="N147" s="2128"/>
      <c r="O147" s="2124">
        <v>0</v>
      </c>
      <c r="P147" s="2124">
        <v>0</v>
      </c>
      <c r="R147" s="791"/>
    </row>
    <row r="148" spans="2:18">
      <c r="B148" s="2063" t="s">
        <v>339</v>
      </c>
      <c r="C148" s="2118">
        <v>2056</v>
      </c>
      <c r="D148" s="2119">
        <v>0</v>
      </c>
      <c r="E148" s="2026">
        <v>0</v>
      </c>
      <c r="F148" s="2120">
        <v>0</v>
      </c>
      <c r="G148" s="2120">
        <v>0</v>
      </c>
      <c r="H148" s="2029">
        <v>0</v>
      </c>
      <c r="I148" s="2127">
        <v>0</v>
      </c>
      <c r="J148" s="2124">
        <v>0</v>
      </c>
      <c r="K148" s="2124"/>
      <c r="L148" s="2128"/>
      <c r="M148" s="2124">
        <v>0</v>
      </c>
      <c r="N148" s="2128"/>
      <c r="O148" s="2124">
        <v>0</v>
      </c>
      <c r="P148" s="2124">
        <v>0</v>
      </c>
      <c r="R148" s="791"/>
    </row>
    <row r="149" spans="2:18">
      <c r="B149" s="2063" t="s">
        <v>339</v>
      </c>
      <c r="C149" s="2118">
        <v>2057</v>
      </c>
      <c r="D149" s="2119">
        <v>0</v>
      </c>
      <c r="E149" s="2026">
        <v>0</v>
      </c>
      <c r="F149" s="2120">
        <v>0</v>
      </c>
      <c r="G149" s="2120">
        <v>0</v>
      </c>
      <c r="H149" s="2029">
        <v>0</v>
      </c>
      <c r="I149" s="2127">
        <v>0</v>
      </c>
      <c r="J149" s="2124">
        <v>0</v>
      </c>
      <c r="K149" s="2124"/>
      <c r="L149" s="2128"/>
      <c r="M149" s="2124">
        <v>0</v>
      </c>
      <c r="N149" s="2128"/>
      <c r="O149" s="2124">
        <v>0</v>
      </c>
      <c r="P149" s="2124">
        <v>0</v>
      </c>
      <c r="R149" s="791"/>
    </row>
    <row r="150" spans="2:18">
      <c r="B150" s="2063" t="s">
        <v>339</v>
      </c>
      <c r="C150" s="2118">
        <v>2058</v>
      </c>
      <c r="D150" s="2119">
        <v>0</v>
      </c>
      <c r="E150" s="2026">
        <v>0</v>
      </c>
      <c r="F150" s="2120">
        <v>0</v>
      </c>
      <c r="G150" s="2120">
        <v>0</v>
      </c>
      <c r="H150" s="2029">
        <v>0</v>
      </c>
      <c r="I150" s="2127">
        <v>0</v>
      </c>
      <c r="J150" s="2124">
        <v>0</v>
      </c>
      <c r="K150" s="2124"/>
      <c r="L150" s="2128"/>
      <c r="M150" s="2124">
        <v>0</v>
      </c>
      <c r="N150" s="2128"/>
      <c r="O150" s="2124">
        <v>0</v>
      </c>
      <c r="P150" s="2124">
        <v>0</v>
      </c>
      <c r="R150" s="791"/>
    </row>
    <row r="151" spans="2:18">
      <c r="B151" s="2063" t="s">
        <v>339</v>
      </c>
      <c r="C151" s="2118">
        <v>2059</v>
      </c>
      <c r="D151" s="2119">
        <v>0</v>
      </c>
      <c r="E151" s="2026">
        <v>0</v>
      </c>
      <c r="F151" s="2120">
        <v>0</v>
      </c>
      <c r="G151" s="2120">
        <v>0</v>
      </c>
      <c r="H151" s="2029">
        <v>0</v>
      </c>
      <c r="I151" s="2127">
        <v>0</v>
      </c>
      <c r="J151" s="2124">
        <v>0</v>
      </c>
      <c r="K151" s="2124"/>
      <c r="L151" s="2128"/>
      <c r="M151" s="2124">
        <v>0</v>
      </c>
      <c r="N151" s="2128"/>
      <c r="O151" s="2124">
        <v>0</v>
      </c>
      <c r="P151" s="2124">
        <v>0</v>
      </c>
      <c r="R151" s="791"/>
    </row>
    <row r="152" spans="2:18">
      <c r="B152" s="2063" t="s">
        <v>339</v>
      </c>
      <c r="C152" s="2118">
        <v>2060</v>
      </c>
      <c r="D152" s="2119">
        <v>0</v>
      </c>
      <c r="E152" s="2026">
        <v>0</v>
      </c>
      <c r="F152" s="2120">
        <v>0</v>
      </c>
      <c r="G152" s="2120">
        <v>0</v>
      </c>
      <c r="H152" s="2029">
        <v>0</v>
      </c>
      <c r="I152" s="2127">
        <v>0</v>
      </c>
      <c r="J152" s="2124">
        <v>0</v>
      </c>
      <c r="K152" s="2124"/>
      <c r="L152" s="2128"/>
      <c r="M152" s="2124">
        <v>0</v>
      </c>
      <c r="N152" s="2128"/>
      <c r="O152" s="2124">
        <v>0</v>
      </c>
      <c r="P152" s="2124">
        <v>0</v>
      </c>
      <c r="R152" s="791"/>
    </row>
    <row r="153" spans="2:18">
      <c r="B153" s="2063" t="s">
        <v>339</v>
      </c>
      <c r="C153" s="2118">
        <v>2061</v>
      </c>
      <c r="D153" s="2119">
        <v>0</v>
      </c>
      <c r="E153" s="2026">
        <v>0</v>
      </c>
      <c r="F153" s="2120">
        <v>0</v>
      </c>
      <c r="G153" s="2120">
        <v>0</v>
      </c>
      <c r="H153" s="2029">
        <v>0</v>
      </c>
      <c r="I153" s="2127">
        <v>0</v>
      </c>
      <c r="J153" s="2124">
        <v>0</v>
      </c>
      <c r="K153" s="2124"/>
      <c r="L153" s="2128"/>
      <c r="M153" s="2124">
        <v>0</v>
      </c>
      <c r="N153" s="2128"/>
      <c r="O153" s="2124">
        <v>0</v>
      </c>
      <c r="P153" s="2124">
        <v>0</v>
      </c>
      <c r="R153" s="791"/>
    </row>
    <row r="154" spans="2:18">
      <c r="B154" s="2063" t="s">
        <v>339</v>
      </c>
      <c r="C154" s="2118">
        <v>2062</v>
      </c>
      <c r="D154" s="2119">
        <v>0</v>
      </c>
      <c r="E154" s="2026">
        <v>0</v>
      </c>
      <c r="F154" s="2120">
        <v>0</v>
      </c>
      <c r="G154" s="2120">
        <v>0</v>
      </c>
      <c r="H154" s="2029">
        <v>0</v>
      </c>
      <c r="I154" s="2127">
        <v>0</v>
      </c>
      <c r="J154" s="2124">
        <v>0</v>
      </c>
      <c r="K154" s="2124"/>
      <c r="L154" s="2128"/>
      <c r="M154" s="2124">
        <v>0</v>
      </c>
      <c r="N154" s="2128"/>
      <c r="O154" s="2124">
        <v>0</v>
      </c>
      <c r="P154" s="2124">
        <v>0</v>
      </c>
      <c r="R154" s="791"/>
    </row>
    <row r="155" spans="2:18">
      <c r="B155" s="2063" t="s">
        <v>339</v>
      </c>
      <c r="C155" s="2118">
        <v>2063</v>
      </c>
      <c r="D155" s="2119">
        <v>0</v>
      </c>
      <c r="E155" s="2026">
        <v>0</v>
      </c>
      <c r="F155" s="2120">
        <v>0</v>
      </c>
      <c r="G155" s="2120">
        <v>0</v>
      </c>
      <c r="H155" s="2029">
        <v>0</v>
      </c>
      <c r="I155" s="2127">
        <v>0</v>
      </c>
      <c r="J155" s="2124">
        <v>0</v>
      </c>
      <c r="K155" s="2124"/>
      <c r="L155" s="2128"/>
      <c r="M155" s="2124">
        <v>0</v>
      </c>
      <c r="N155" s="2128"/>
      <c r="O155" s="2124">
        <v>0</v>
      </c>
      <c r="P155" s="2124">
        <v>0</v>
      </c>
      <c r="R155" s="791"/>
    </row>
    <row r="156" spans="2:18">
      <c r="B156" s="2063" t="s">
        <v>339</v>
      </c>
      <c r="C156" s="2118">
        <v>2064</v>
      </c>
      <c r="D156" s="2119">
        <v>0</v>
      </c>
      <c r="E156" s="2026">
        <v>0</v>
      </c>
      <c r="F156" s="2120">
        <v>0</v>
      </c>
      <c r="G156" s="2120">
        <v>0</v>
      </c>
      <c r="H156" s="2029">
        <v>0</v>
      </c>
      <c r="I156" s="2127">
        <v>0</v>
      </c>
      <c r="J156" s="2124">
        <v>0</v>
      </c>
      <c r="K156" s="2124"/>
      <c r="L156" s="2128"/>
      <c r="M156" s="2124">
        <v>0</v>
      </c>
      <c r="N156" s="2128"/>
      <c r="O156" s="2124">
        <v>0</v>
      </c>
      <c r="P156" s="2124">
        <v>0</v>
      </c>
      <c r="R156" s="791"/>
    </row>
    <row r="157" spans="2:18">
      <c r="B157" s="2063" t="s">
        <v>339</v>
      </c>
      <c r="C157" s="2118">
        <v>2065</v>
      </c>
      <c r="D157" s="2119">
        <v>0</v>
      </c>
      <c r="E157" s="2026">
        <v>0</v>
      </c>
      <c r="F157" s="2120">
        <v>0</v>
      </c>
      <c r="G157" s="2120">
        <v>0</v>
      </c>
      <c r="H157" s="2029">
        <v>0</v>
      </c>
      <c r="I157" s="2127">
        <v>0</v>
      </c>
      <c r="J157" s="2124">
        <v>0</v>
      </c>
      <c r="K157" s="2124"/>
      <c r="L157" s="2128"/>
      <c r="M157" s="2124">
        <v>0</v>
      </c>
      <c r="N157" s="2128"/>
      <c r="O157" s="2124">
        <v>0</v>
      </c>
      <c r="P157" s="2124">
        <v>0</v>
      </c>
      <c r="R157" s="791"/>
    </row>
    <row r="158" spans="2:18">
      <c r="B158" s="2063" t="s">
        <v>339</v>
      </c>
      <c r="C158" s="2118">
        <v>2066</v>
      </c>
      <c r="D158" s="2119">
        <v>0</v>
      </c>
      <c r="E158" s="2026">
        <v>0</v>
      </c>
      <c r="F158" s="2120">
        <v>0</v>
      </c>
      <c r="G158" s="2120">
        <v>0</v>
      </c>
      <c r="H158" s="2029">
        <v>0</v>
      </c>
      <c r="I158" s="2127">
        <v>0</v>
      </c>
      <c r="J158" s="2124">
        <v>0</v>
      </c>
      <c r="K158" s="2124"/>
      <c r="L158" s="2128"/>
      <c r="M158" s="2124">
        <v>0</v>
      </c>
      <c r="N158" s="2128"/>
      <c r="O158" s="2124">
        <v>0</v>
      </c>
      <c r="P158" s="2124">
        <v>0</v>
      </c>
      <c r="R158" s="791"/>
    </row>
    <row r="159" spans="2:18">
      <c r="B159" s="2063" t="s">
        <v>339</v>
      </c>
      <c r="C159" s="2118">
        <v>2067</v>
      </c>
      <c r="D159" s="2119">
        <v>0</v>
      </c>
      <c r="E159" s="2026">
        <v>0</v>
      </c>
      <c r="F159" s="2120">
        <v>0</v>
      </c>
      <c r="G159" s="2120">
        <v>0</v>
      </c>
      <c r="H159" s="2029">
        <v>0</v>
      </c>
      <c r="I159" s="2127">
        <v>0</v>
      </c>
      <c r="J159" s="2124">
        <v>0</v>
      </c>
      <c r="K159" s="2124"/>
      <c r="L159" s="2128"/>
      <c r="M159" s="2124">
        <v>0</v>
      </c>
      <c r="N159" s="2128"/>
      <c r="O159" s="2124">
        <v>0</v>
      </c>
      <c r="P159" s="2124">
        <v>0</v>
      </c>
      <c r="R159" s="791"/>
    </row>
    <row r="160" spans="2:18" ht="13.5" thickBot="1">
      <c r="B160" s="2063" t="s">
        <v>339</v>
      </c>
      <c r="C160" s="2129">
        <v>2068</v>
      </c>
      <c r="D160" s="2130">
        <v>0</v>
      </c>
      <c r="E160" s="2032">
        <v>0</v>
      </c>
      <c r="F160" s="2131">
        <v>0</v>
      </c>
      <c r="G160" s="2131">
        <v>0</v>
      </c>
      <c r="H160" s="2033">
        <v>0</v>
      </c>
      <c r="I160" s="2132">
        <v>0</v>
      </c>
      <c r="J160" s="2133">
        <v>0</v>
      </c>
      <c r="K160" s="2124"/>
      <c r="L160" s="2134"/>
      <c r="M160" s="2133">
        <v>0</v>
      </c>
      <c r="N160" s="2134"/>
      <c r="O160" s="2133">
        <v>0</v>
      </c>
      <c r="P160" s="2133">
        <v>0</v>
      </c>
      <c r="R160" s="791"/>
    </row>
    <row r="161" spans="2:18">
      <c r="B161" s="1968"/>
      <c r="C161" s="2119" t="s">
        <v>478</v>
      </c>
      <c r="D161" s="1985"/>
      <c r="E161" s="1985">
        <v>1035552</v>
      </c>
      <c r="F161" s="1985"/>
      <c r="G161" s="1985"/>
      <c r="H161" s="1985">
        <v>4670143.8157202108</v>
      </c>
      <c r="I161" s="1985">
        <v>4670143.8157202108</v>
      </c>
      <c r="J161" s="1985">
        <v>0</v>
      </c>
      <c r="K161" s="1985"/>
      <c r="L161" s="1985"/>
      <c r="M161" s="1985"/>
      <c r="N161" s="1985"/>
      <c r="O161" s="1985"/>
      <c r="P161" s="1968"/>
      <c r="R161" s="791"/>
    </row>
    <row r="162" spans="2:18">
      <c r="B162" s="1968"/>
      <c r="C162" s="1968" t="s">
        <v>896</v>
      </c>
      <c r="D162" s="2063"/>
      <c r="E162" s="1968"/>
      <c r="F162" s="1968"/>
      <c r="G162" s="1968"/>
      <c r="H162" s="1968"/>
      <c r="I162" s="1984"/>
      <c r="J162" s="1984"/>
      <c r="K162" s="1985"/>
      <c r="L162" s="1984"/>
      <c r="M162" s="1984"/>
      <c r="N162" s="1984"/>
      <c r="O162" s="1984"/>
      <c r="P162" s="1968"/>
      <c r="R162" s="791"/>
    </row>
    <row r="163" spans="2:18">
      <c r="B163" s="1968"/>
      <c r="C163" s="1968"/>
      <c r="D163" s="2063"/>
      <c r="E163" s="1968"/>
      <c r="F163" s="1968"/>
      <c r="G163" s="1968"/>
      <c r="H163" s="1968"/>
      <c r="I163" s="1984"/>
      <c r="J163" s="1984"/>
      <c r="K163" s="1985"/>
      <c r="L163" s="1984"/>
      <c r="M163" s="1984"/>
      <c r="N163" s="1984"/>
      <c r="O163" s="1984"/>
      <c r="P163" s="1968"/>
      <c r="R163" s="791"/>
    </row>
    <row r="164" spans="2:18">
      <c r="B164" s="1968"/>
      <c r="C164" s="2135" t="s">
        <v>897</v>
      </c>
      <c r="D164" s="2063"/>
      <c r="E164" s="1968"/>
      <c r="F164" s="1968"/>
      <c r="G164" s="1968"/>
      <c r="H164" s="1968"/>
      <c r="I164" s="1984"/>
      <c r="J164" s="1984"/>
      <c r="K164" s="1985"/>
      <c r="L164" s="1984"/>
      <c r="M164" s="1984"/>
      <c r="N164" s="1984"/>
      <c r="O164" s="1984"/>
      <c r="P164" s="1968"/>
      <c r="R164" s="791"/>
    </row>
    <row r="165" spans="2:18">
      <c r="B165" s="1968"/>
      <c r="C165" s="2084" t="s">
        <v>479</v>
      </c>
      <c r="D165" s="2119"/>
      <c r="E165" s="2119"/>
      <c r="F165" s="2119"/>
      <c r="G165" s="2119"/>
      <c r="H165" s="1985"/>
      <c r="I165" s="1985"/>
      <c r="J165" s="2136"/>
      <c r="K165" s="2136"/>
      <c r="L165" s="2136"/>
      <c r="M165" s="2136"/>
      <c r="N165" s="2136"/>
      <c r="O165" s="2136"/>
      <c r="P165" s="1968"/>
      <c r="R165" s="791"/>
    </row>
    <row r="166" spans="2:18">
      <c r="B166" s="1968"/>
      <c r="C166" s="2084" t="s">
        <v>480</v>
      </c>
      <c r="D166" s="2119"/>
      <c r="E166" s="2119"/>
      <c r="F166" s="2119"/>
      <c r="G166" s="2119"/>
      <c r="H166" s="1985"/>
      <c r="I166" s="1985"/>
      <c r="J166" s="2136"/>
      <c r="K166" s="2136"/>
      <c r="L166" s="2136"/>
      <c r="M166" s="2136"/>
      <c r="N166" s="2136"/>
      <c r="O166" s="2136"/>
      <c r="P166" s="1968"/>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23" zoomScale="81" zoomScaleNormal="81" zoomScaleSheetLayoutView="75" zoomScalePageLayoutView="80" workbookViewId="0">
      <selection activeCell="A23" sqref="A1:XFD1048576"/>
    </sheetView>
  </sheetViews>
  <sheetFormatPr defaultColWidth="9.140625" defaultRowHeight="15"/>
  <cols>
    <col min="1" max="1" width="4.7109375" style="1580" customWidth="1"/>
    <col min="2" max="2" width="7.42578125" style="1580" customWidth="1"/>
    <col min="3" max="6" width="12.7109375" style="1580" customWidth="1"/>
    <col min="7" max="7" width="17.140625" style="1580" customWidth="1"/>
    <col min="8" max="9" width="12.7109375" style="1580" customWidth="1"/>
    <col min="10" max="10" width="12" style="1580" customWidth="1"/>
    <col min="11" max="11" width="16.42578125" style="1580" bestFit="1" customWidth="1"/>
    <col min="12" max="12" width="22.140625" style="1580" bestFit="1" customWidth="1"/>
    <col min="13" max="13" width="22.140625" style="925" bestFit="1" customWidth="1"/>
    <col min="14" max="14" width="8.42578125" style="1580" customWidth="1"/>
    <col min="15" max="38" width="12.7109375" style="1580" customWidth="1"/>
    <col min="39" max="16384" width="9.140625" style="1580"/>
  </cols>
  <sheetData>
    <row r="1" spans="1:22">
      <c r="A1" s="1050"/>
    </row>
    <row r="2" spans="1:22" ht="15.75">
      <c r="N2" s="1581"/>
    </row>
    <row r="3" spans="1:22">
      <c r="A3" s="2447" t="str">
        <f>+'SWEPCO TCOS'!F4</f>
        <v xml:space="preserve">AEP West SPP Member Operating Companies </v>
      </c>
      <c r="B3" s="2447"/>
      <c r="C3" s="2447"/>
      <c r="D3" s="2447"/>
      <c r="E3" s="2447"/>
      <c r="F3" s="2447"/>
      <c r="G3" s="2447"/>
      <c r="H3" s="2447"/>
      <c r="I3" s="2447"/>
      <c r="J3" s="2447"/>
      <c r="K3" s="2447"/>
      <c r="L3" s="2447"/>
      <c r="M3" s="2447"/>
      <c r="N3" s="2447"/>
    </row>
    <row r="4" spans="1:22">
      <c r="A4" s="2571" t="str">
        <f>+'SWEPCO WS A-1 - Plant'!A3</f>
        <v xml:space="preserve">Actual / Projected 2018 Rate Year Cost of Service Formula Rate </v>
      </c>
      <c r="B4" s="2554"/>
      <c r="C4" s="2554"/>
      <c r="D4" s="2554"/>
      <c r="E4" s="2554"/>
      <c r="F4" s="2554"/>
      <c r="G4" s="2554"/>
      <c r="H4" s="2554"/>
      <c r="I4" s="2554"/>
      <c r="J4" s="2554"/>
      <c r="K4" s="2554"/>
      <c r="L4" s="2554"/>
      <c r="M4" s="2554"/>
      <c r="N4" s="2554"/>
    </row>
    <row r="5" spans="1:22" ht="15.75" customHeight="1">
      <c r="A5" s="2554" t="s">
        <v>857</v>
      </c>
      <c r="B5" s="2554"/>
      <c r="C5" s="2554"/>
      <c r="D5" s="2554"/>
      <c r="E5" s="2554"/>
      <c r="F5" s="2554"/>
      <c r="G5" s="2554"/>
      <c r="H5" s="2554"/>
      <c r="I5" s="2554"/>
      <c r="J5" s="2554"/>
      <c r="K5" s="2554"/>
      <c r="L5" s="2554"/>
      <c r="M5" s="2554"/>
      <c r="N5" s="2554"/>
      <c r="O5" s="1706"/>
      <c r="P5" s="1706"/>
      <c r="Q5" s="1706"/>
      <c r="R5" s="1706"/>
      <c r="S5" s="1706"/>
      <c r="T5" s="1706"/>
      <c r="U5" s="1706"/>
    </row>
    <row r="6" spans="1:22" ht="15.75">
      <c r="A6" s="2479" t="str">
        <f>+'SWEPCO TCOS'!F8</f>
        <v>SOUTHWESTERN ELECTRIC POWER COMPANY</v>
      </c>
      <c r="B6" s="2479"/>
      <c r="C6" s="2479"/>
      <c r="D6" s="2479"/>
      <c r="E6" s="2479"/>
      <c r="F6" s="2479"/>
      <c r="G6" s="2479"/>
      <c r="H6" s="2479"/>
      <c r="I6" s="2479"/>
      <c r="J6" s="2479"/>
      <c r="K6" s="2479"/>
      <c r="L6" s="2479"/>
      <c r="M6" s="2479"/>
      <c r="N6" s="2479"/>
    </row>
    <row r="7" spans="1:22" ht="26.25">
      <c r="A7" s="1582"/>
      <c r="B7" s="1583"/>
      <c r="C7" s="1583"/>
      <c r="D7" s="1583"/>
      <c r="E7" s="1583"/>
      <c r="F7" s="1583"/>
      <c r="G7" s="1583"/>
      <c r="H7" s="1583"/>
      <c r="I7" s="1583"/>
      <c r="J7" s="1583"/>
      <c r="K7" s="1583"/>
      <c r="L7" s="856"/>
      <c r="M7" s="1584"/>
    </row>
    <row r="8" spans="1:22" ht="20.25">
      <c r="A8" s="1585"/>
      <c r="B8" s="1583"/>
      <c r="C8" s="1583"/>
      <c r="D8" s="1583"/>
      <c r="E8" s="1583"/>
      <c r="F8" s="1583"/>
      <c r="G8" s="1583"/>
      <c r="H8" s="1583"/>
      <c r="I8" s="1583"/>
      <c r="J8" s="1583"/>
      <c r="K8" s="1583"/>
      <c r="L8" s="1583"/>
      <c r="M8" s="1586"/>
    </row>
    <row r="9" spans="1:22" ht="20.25">
      <c r="A9" s="1583"/>
      <c r="B9" s="1583"/>
      <c r="C9" s="2137"/>
      <c r="D9" s="2137"/>
      <c r="E9" s="2137"/>
      <c r="F9" s="2137"/>
      <c r="G9" s="2137"/>
      <c r="H9" s="2137"/>
      <c r="I9" s="2137"/>
      <c r="J9" s="2137"/>
      <c r="K9" s="1588" t="s">
        <v>321</v>
      </c>
      <c r="L9" s="1588" t="s">
        <v>212</v>
      </c>
      <c r="M9" s="1589"/>
      <c r="N9" s="846"/>
      <c r="P9" s="846"/>
      <c r="R9" s="846"/>
      <c r="S9" s="846"/>
      <c r="T9" s="846"/>
      <c r="U9" s="791"/>
      <c r="V9" s="791"/>
    </row>
    <row r="10" spans="1:22" ht="20.25">
      <c r="A10" s="2137"/>
      <c r="B10" s="1590" t="s">
        <v>855</v>
      </c>
      <c r="C10" s="2137"/>
      <c r="D10" s="2137"/>
      <c r="E10" s="2137"/>
      <c r="F10" s="2137"/>
      <c r="G10" s="2137"/>
      <c r="H10" s="2137"/>
      <c r="I10" s="2137"/>
      <c r="J10" s="1583"/>
      <c r="K10" s="1588" t="s">
        <v>322</v>
      </c>
      <c r="L10" s="1588" t="s">
        <v>257</v>
      </c>
      <c r="M10" s="1588" t="s">
        <v>257</v>
      </c>
      <c r="N10" s="846"/>
      <c r="O10" s="846"/>
      <c r="P10" s="846"/>
      <c r="Q10" s="846"/>
      <c r="R10" s="846"/>
      <c r="S10" s="846"/>
      <c r="T10" s="1591"/>
      <c r="U10" s="791"/>
      <c r="V10" s="791"/>
    </row>
    <row r="11" spans="1:22" ht="20.25">
      <c r="A11" s="2137"/>
      <c r="B11" s="1592"/>
      <c r="C11" s="1583"/>
      <c r="D11" s="2137"/>
      <c r="E11" s="2137"/>
      <c r="F11" s="2137"/>
      <c r="G11" s="2137"/>
      <c r="H11" s="2137"/>
      <c r="I11" s="2137"/>
      <c r="J11" s="1583"/>
      <c r="K11" s="2137"/>
      <c r="L11" s="2137"/>
      <c r="M11" s="1593"/>
      <c r="N11" s="846"/>
      <c r="O11" s="846"/>
      <c r="P11" s="846"/>
      <c r="Q11" s="846"/>
      <c r="R11" s="846"/>
      <c r="S11" s="846"/>
      <c r="T11" s="1591"/>
      <c r="U11" s="791"/>
      <c r="V11" s="791"/>
    </row>
    <row r="12" spans="1:22" ht="20.25" customHeight="1">
      <c r="A12" s="2137"/>
      <c r="B12" s="1594">
        <v>1</v>
      </c>
      <c r="C12" s="1595" t="s">
        <v>899</v>
      </c>
      <c r="D12" s="1583"/>
      <c r="E12" s="1583"/>
      <c r="F12" s="2137"/>
      <c r="G12" s="1583"/>
      <c r="H12" s="1583"/>
      <c r="I12" s="2137"/>
      <c r="J12" s="1583"/>
      <c r="K12" s="1596">
        <v>5203657.95</v>
      </c>
      <c r="L12" s="1597">
        <f>+K12-M12</f>
        <v>5203657.95</v>
      </c>
      <c r="M12" s="1543">
        <v>0</v>
      </c>
      <c r="N12" s="791"/>
      <c r="O12" s="791"/>
      <c r="P12" s="791"/>
      <c r="Q12" s="791"/>
      <c r="R12" s="791"/>
      <c r="S12" s="791"/>
      <c r="T12" s="846"/>
      <c r="U12" s="791"/>
      <c r="V12" s="791"/>
    </row>
    <row r="13" spans="1:22" ht="20.25" customHeight="1">
      <c r="A13" s="2137"/>
      <c r="B13" s="1594"/>
      <c r="C13" s="1592"/>
      <c r="D13" s="1583"/>
      <c r="E13" s="1583"/>
      <c r="F13" s="2137"/>
      <c r="G13" s="1583"/>
      <c r="H13" s="1583"/>
      <c r="I13" s="2137"/>
      <c r="J13" s="1583"/>
      <c r="K13" s="2138"/>
      <c r="L13" s="1599"/>
      <c r="M13" s="1599"/>
      <c r="N13" s="791"/>
      <c r="O13" s="791"/>
      <c r="P13" s="791"/>
      <c r="Q13" s="791"/>
      <c r="R13" s="791"/>
      <c r="S13" s="791"/>
      <c r="T13" s="846"/>
      <c r="U13" s="791"/>
      <c r="V13" s="791"/>
    </row>
    <row r="14" spans="1:22" ht="19.5">
      <c r="A14" s="2137"/>
      <c r="B14" s="1594">
        <f>+B12+1</f>
        <v>2</v>
      </c>
      <c r="C14" s="249" t="s">
        <v>870</v>
      </c>
      <c r="D14" s="1583"/>
      <c r="E14" s="1583"/>
      <c r="F14" s="2137"/>
      <c r="G14" s="1583"/>
      <c r="H14" s="1599"/>
      <c r="I14" s="2137"/>
      <c r="J14" s="1583"/>
      <c r="K14" s="1596">
        <v>2270147.91</v>
      </c>
      <c r="L14" s="1597">
        <f>+K14-M14</f>
        <v>2270147.91</v>
      </c>
      <c r="M14" s="1543"/>
      <c r="N14" s="791"/>
      <c r="O14" s="791"/>
      <c r="P14" s="791"/>
      <c r="Q14" s="791"/>
      <c r="R14" s="791"/>
      <c r="S14" s="791"/>
      <c r="T14" s="791"/>
      <c r="U14" s="791"/>
      <c r="V14" s="791"/>
    </row>
    <row r="15" spans="1:22" ht="20.25">
      <c r="A15" s="2137"/>
      <c r="B15" s="1594"/>
      <c r="C15" s="1592"/>
      <c r="D15" s="1583"/>
      <c r="E15" s="1583"/>
      <c r="F15" s="2137"/>
      <c r="G15" s="1583"/>
      <c r="H15" s="1599"/>
      <c r="I15" s="2137"/>
      <c r="J15" s="2137"/>
      <c r="K15" s="2138"/>
      <c r="L15" s="2137"/>
      <c r="M15" s="1600"/>
      <c r="N15" s="791"/>
      <c r="O15" s="791"/>
      <c r="P15" s="791"/>
      <c r="Q15" s="791"/>
      <c r="R15" s="791"/>
      <c r="S15" s="791"/>
      <c r="T15" s="791"/>
      <c r="U15" s="791"/>
      <c r="V15" s="791"/>
    </row>
    <row r="16" spans="1:22" ht="18">
      <c r="A16" s="2137"/>
      <c r="C16" s="1595" t="s">
        <v>900</v>
      </c>
      <c r="D16" s="1583"/>
      <c r="E16" s="1583"/>
      <c r="F16" s="2137"/>
      <c r="G16" s="1583"/>
      <c r="H16" s="1583"/>
      <c r="I16" s="2137"/>
      <c r="J16" s="2137"/>
      <c r="K16" s="2138"/>
      <c r="L16" s="1597"/>
      <c r="M16" s="1543"/>
      <c r="N16" s="791"/>
      <c r="O16" s="791"/>
      <c r="P16" s="791"/>
      <c r="Q16" s="791"/>
      <c r="R16" s="791"/>
      <c r="S16" s="791"/>
      <c r="T16" s="791"/>
      <c r="U16" s="791"/>
      <c r="V16" s="791"/>
    </row>
    <row r="17" spans="1:22" ht="19.5">
      <c r="A17" s="2137"/>
      <c r="B17" s="1594"/>
      <c r="C17" s="1602"/>
      <c r="D17" s="1589" t="s">
        <v>96</v>
      </c>
      <c r="E17" s="1583"/>
      <c r="F17" s="2137"/>
      <c r="G17" s="2139"/>
      <c r="H17" s="1599"/>
      <c r="I17" s="2137"/>
      <c r="J17" s="2137"/>
      <c r="K17" s="1596">
        <v>1455119.2799999998</v>
      </c>
      <c r="L17" s="1597">
        <f>+K17-M17</f>
        <v>1455119.2799999998</v>
      </c>
      <c r="M17" s="1596">
        <v>0</v>
      </c>
      <c r="N17" s="791"/>
      <c r="O17" s="791"/>
      <c r="P17" s="791"/>
      <c r="Q17" s="791"/>
      <c r="R17" s="791"/>
      <c r="S17" s="791"/>
      <c r="T17" s="791"/>
      <c r="U17" s="791"/>
      <c r="V17" s="791"/>
    </row>
    <row r="18" spans="1:22" ht="19.5">
      <c r="A18" s="2137"/>
      <c r="B18" s="1594"/>
      <c r="C18" s="1604"/>
      <c r="D18" s="1589" t="s">
        <v>97</v>
      </c>
      <c r="E18" s="1583"/>
      <c r="F18" s="2137"/>
      <c r="G18" s="2139"/>
      <c r="H18" s="1599"/>
      <c r="I18" s="2137"/>
      <c r="J18" s="2137"/>
      <c r="K18" s="1596">
        <v>3095276</v>
      </c>
      <c r="L18" s="1597">
        <f>+K18-M18</f>
        <v>3077790.51</v>
      </c>
      <c r="M18" s="1596">
        <v>17485.490000000002</v>
      </c>
      <c r="N18" s="791"/>
      <c r="O18" s="791"/>
      <c r="P18" s="791"/>
      <c r="Q18" s="791"/>
      <c r="R18" s="791"/>
      <c r="S18" s="791"/>
      <c r="T18" s="791"/>
      <c r="U18" s="791"/>
      <c r="V18" s="791"/>
    </row>
    <row r="19" spans="1:22" ht="19.5">
      <c r="A19" s="2137"/>
      <c r="B19" s="1594"/>
      <c r="C19" s="1604"/>
      <c r="D19" s="1589" t="s">
        <v>412</v>
      </c>
      <c r="E19" s="1583"/>
      <c r="F19" s="2137"/>
      <c r="G19" s="2139"/>
      <c r="H19" s="1599"/>
      <c r="I19" s="2137"/>
      <c r="J19" s="2137"/>
      <c r="K19" s="1596">
        <v>4911397.59</v>
      </c>
      <c r="L19" s="1597">
        <f>+K19-M19</f>
        <v>4911397.59</v>
      </c>
      <c r="M19" s="1596">
        <v>0</v>
      </c>
      <c r="O19" s="791"/>
      <c r="P19" s="791"/>
      <c r="Q19" s="791"/>
      <c r="R19" s="791"/>
      <c r="S19" s="791"/>
      <c r="T19" s="791"/>
      <c r="U19" s="791"/>
      <c r="V19" s="791"/>
    </row>
    <row r="20" spans="1:22" ht="19.5">
      <c r="A20" s="2137"/>
      <c r="B20" s="1594"/>
      <c r="C20" s="1604"/>
      <c r="D20" s="1605" t="s">
        <v>98</v>
      </c>
      <c r="E20" s="1583"/>
      <c r="F20" s="2137"/>
      <c r="G20" s="2139"/>
      <c r="H20" s="1599"/>
      <c r="I20" s="2137"/>
      <c r="J20" s="2137"/>
      <c r="K20" s="1596">
        <v>45389.88</v>
      </c>
      <c r="L20" s="1597">
        <f>+K20-M20</f>
        <v>45389.88</v>
      </c>
      <c r="M20" s="1596">
        <v>0</v>
      </c>
      <c r="N20" s="791"/>
      <c r="O20" s="791"/>
      <c r="P20" s="791"/>
      <c r="Q20" s="791"/>
      <c r="R20" s="791"/>
      <c r="S20" s="791"/>
      <c r="T20" s="791"/>
      <c r="U20" s="791"/>
      <c r="V20" s="791"/>
    </row>
    <row r="21" spans="1:22" ht="19.5">
      <c r="A21" s="2137"/>
      <c r="B21" s="1594"/>
      <c r="C21" s="1604"/>
      <c r="D21" s="1605" t="s">
        <v>503</v>
      </c>
      <c r="E21" s="1583"/>
      <c r="F21" s="2137"/>
      <c r="G21" s="2139"/>
      <c r="H21" s="1599"/>
      <c r="I21" s="2137"/>
      <c r="J21" s="2137"/>
      <c r="K21" s="1596"/>
      <c r="L21" s="1597">
        <f>+K21-M21</f>
        <v>0</v>
      </c>
      <c r="M21" s="1596"/>
      <c r="N21" s="791"/>
      <c r="O21" s="791"/>
      <c r="P21" s="791"/>
      <c r="Q21" s="791"/>
      <c r="R21" s="791"/>
      <c r="S21" s="791"/>
      <c r="T21" s="791"/>
      <c r="U21" s="791"/>
      <c r="V21" s="791"/>
    </row>
    <row r="22" spans="1:22" ht="19.5">
      <c r="A22" s="2137"/>
      <c r="B22" s="1594">
        <f>+B14+1</f>
        <v>3</v>
      </c>
      <c r="C22" s="1604"/>
      <c r="D22" s="1589" t="s">
        <v>502</v>
      </c>
      <c r="E22" s="1583"/>
      <c r="F22" s="2137"/>
      <c r="G22" s="2139"/>
      <c r="H22" s="1599"/>
      <c r="I22" s="2137"/>
      <c r="J22" s="2137"/>
      <c r="K22" s="1606">
        <f>SUM(K17:K21)</f>
        <v>9507182.75</v>
      </c>
      <c r="L22" s="1597"/>
      <c r="M22" s="1606">
        <f>SUM(M17:M21)</f>
        <v>17485.490000000002</v>
      </c>
      <c r="N22" s="791"/>
      <c r="O22" s="791"/>
      <c r="P22" s="791"/>
      <c r="Q22" s="791"/>
      <c r="R22" s="791"/>
      <c r="S22" s="791"/>
      <c r="T22" s="791"/>
      <c r="U22" s="791"/>
      <c r="V22" s="791"/>
    </row>
    <row r="23" spans="1:22" ht="19.5">
      <c r="A23" s="2137"/>
      <c r="B23" s="1594"/>
      <c r="C23" s="1599"/>
      <c r="D23" s="1583"/>
      <c r="E23" s="1583"/>
      <c r="F23" s="2137"/>
      <c r="G23" s="2139"/>
      <c r="H23" s="1599"/>
      <c r="I23" s="2137"/>
      <c r="J23" s="2137"/>
      <c r="K23" s="2137"/>
      <c r="L23" s="2137"/>
      <c r="M23" s="1599"/>
      <c r="N23" s="791"/>
      <c r="O23" s="791"/>
      <c r="P23" s="791"/>
      <c r="Q23" s="791"/>
      <c r="R23" s="791"/>
      <c r="S23" s="791"/>
      <c r="T23" s="791"/>
      <c r="U23" s="791"/>
      <c r="V23" s="791"/>
    </row>
    <row r="24" spans="1:22" ht="19.5">
      <c r="A24" s="2137"/>
      <c r="B24" s="1594"/>
      <c r="C24" s="1607"/>
      <c r="D24" s="1583"/>
      <c r="E24" s="1583"/>
      <c r="F24" s="2137"/>
      <c r="G24" s="2139"/>
      <c r="H24" s="1599"/>
      <c r="I24" s="2137"/>
      <c r="J24" s="2137"/>
      <c r="K24" s="2137"/>
      <c r="L24" s="2137"/>
      <c r="M24" s="1599"/>
      <c r="N24" s="791"/>
      <c r="O24" s="791"/>
      <c r="P24" s="791"/>
      <c r="Q24" s="791"/>
      <c r="R24" s="791"/>
      <c r="S24" s="791"/>
      <c r="T24" s="791"/>
      <c r="U24" s="791"/>
      <c r="V24" s="791"/>
    </row>
    <row r="25" spans="1:22" ht="19.5">
      <c r="A25" s="2137"/>
      <c r="B25" s="1594"/>
      <c r="C25" s="1599"/>
      <c r="D25" s="1583"/>
      <c r="E25" s="1583"/>
      <c r="F25" s="2137"/>
      <c r="G25" s="2139"/>
      <c r="H25" s="1599"/>
      <c r="I25" s="2137"/>
      <c r="J25" s="2137"/>
      <c r="K25" s="2137"/>
      <c r="L25" s="2137"/>
      <c r="M25" s="1599"/>
      <c r="N25" s="791"/>
      <c r="O25" s="791"/>
      <c r="P25" s="791"/>
      <c r="Q25" s="791"/>
      <c r="R25" s="791"/>
      <c r="S25" s="791"/>
      <c r="T25" s="791"/>
      <c r="U25" s="791"/>
      <c r="V25" s="791"/>
    </row>
    <row r="26" spans="1:22" ht="19.5">
      <c r="A26" s="2137"/>
      <c r="B26" s="1594"/>
      <c r="C26" s="249" t="s">
        <v>859</v>
      </c>
      <c r="D26" s="1583"/>
      <c r="E26" s="1583"/>
      <c r="F26" s="2137"/>
      <c r="G26" s="2139"/>
      <c r="H26" s="1599"/>
      <c r="I26" s="2137"/>
      <c r="J26" s="2137"/>
      <c r="K26" s="916"/>
      <c r="L26" s="916"/>
      <c r="M26" s="916"/>
      <c r="N26" s="791"/>
      <c r="O26" s="791"/>
      <c r="P26" s="791"/>
      <c r="Q26" s="791"/>
      <c r="R26" s="791"/>
      <c r="S26" s="791"/>
      <c r="T26" s="791"/>
      <c r="U26" s="791"/>
      <c r="V26" s="791"/>
    </row>
    <row r="27" spans="1:22" ht="19.5">
      <c r="A27" s="2137"/>
      <c r="B27" s="1594"/>
      <c r="C27" s="926">
        <v>1</v>
      </c>
      <c r="D27" s="1589" t="s">
        <v>99</v>
      </c>
      <c r="E27" s="1583"/>
      <c r="F27" s="2137"/>
      <c r="G27" s="2139"/>
      <c r="H27" s="1599"/>
      <c r="I27" s="2137"/>
      <c r="J27" s="2137"/>
      <c r="K27" s="1596">
        <v>736477.3</v>
      </c>
      <c r="L27" s="1597">
        <f t="shared" ref="L27:L28" si="0">+K27-M27</f>
        <v>518864.02</v>
      </c>
      <c r="M27" s="1596">
        <v>217613.28</v>
      </c>
      <c r="N27" s="791"/>
      <c r="O27" s="791"/>
      <c r="P27" s="791"/>
      <c r="Q27" s="791"/>
      <c r="R27" s="791"/>
      <c r="S27" s="791"/>
      <c r="T27" s="791"/>
      <c r="U27" s="791"/>
      <c r="V27" s="791"/>
    </row>
    <row r="28" spans="1:22" ht="19.5">
      <c r="A28" s="2137"/>
      <c r="B28" s="1594"/>
      <c r="C28" s="926">
        <v>2</v>
      </c>
      <c r="D28" s="1589" t="s">
        <v>860</v>
      </c>
      <c r="E28" s="1583"/>
      <c r="F28" s="2137"/>
      <c r="G28" s="2139"/>
      <c r="H28" s="1599"/>
      <c r="I28" s="2137"/>
      <c r="J28" s="2137"/>
      <c r="K28" s="1596">
        <v>6343868.3800000008</v>
      </c>
      <c r="L28" s="1597">
        <f t="shared" si="0"/>
        <v>5194051.040000001</v>
      </c>
      <c r="M28" s="1596">
        <v>1149817.3400000001</v>
      </c>
      <c r="N28" s="791"/>
      <c r="O28" s="791"/>
      <c r="P28" s="791"/>
      <c r="Q28" s="791"/>
      <c r="R28" s="791"/>
      <c r="S28" s="791"/>
      <c r="T28" s="791"/>
      <c r="U28" s="791"/>
      <c r="V28" s="791"/>
    </row>
    <row r="29" spans="1:22" ht="19.5">
      <c r="A29" s="2137"/>
      <c r="B29" s="1594">
        <f>+B22+1</f>
        <v>4</v>
      </c>
      <c r="C29" s="249"/>
      <c r="D29" s="1589" t="s">
        <v>871</v>
      </c>
      <c r="E29" s="1583"/>
      <c r="F29" s="2137"/>
      <c r="G29" s="2139"/>
      <c r="H29" s="1599"/>
      <c r="I29" s="2137"/>
      <c r="J29" s="2137"/>
      <c r="K29" s="1609">
        <f>+SUM(K27:K28)</f>
        <v>7080345.6800000006</v>
      </c>
      <c r="L29" s="1597"/>
      <c r="M29" s="1609">
        <f>+SUM(M27:M28)</f>
        <v>1367430.62</v>
      </c>
      <c r="N29" s="791"/>
      <c r="O29" s="791"/>
      <c r="P29" s="791"/>
      <c r="Q29" s="791"/>
      <c r="R29" s="791"/>
      <c r="S29" s="791"/>
      <c r="T29" s="791"/>
      <c r="U29" s="791"/>
      <c r="V29" s="791"/>
    </row>
    <row r="30" spans="1:22" ht="19.5">
      <c r="A30" s="2137"/>
      <c r="B30" s="1594"/>
      <c r="E30" s="1583"/>
      <c r="F30" s="2137"/>
      <c r="G30" s="2139"/>
      <c r="H30" s="1599"/>
      <c r="I30" s="2137"/>
      <c r="J30" s="2137"/>
      <c r="M30" s="1580"/>
      <c r="N30" s="791"/>
      <c r="O30" s="791"/>
      <c r="P30" s="791"/>
      <c r="Q30" s="791"/>
      <c r="R30" s="791"/>
      <c r="S30" s="791"/>
      <c r="T30" s="791"/>
      <c r="U30" s="791"/>
      <c r="V30" s="791"/>
    </row>
    <row r="31" spans="1:22" ht="20.25">
      <c r="A31" s="2137"/>
      <c r="B31" s="1594"/>
      <c r="C31" s="1592"/>
      <c r="D31" s="1583"/>
      <c r="E31" s="1583"/>
      <c r="F31" s="2137"/>
      <c r="G31" s="2139"/>
      <c r="H31" s="1599"/>
      <c r="I31" s="2137"/>
      <c r="J31" s="2137"/>
      <c r="K31" s="2137"/>
      <c r="L31" s="2137"/>
      <c r="M31" s="1610"/>
      <c r="N31" s="791"/>
      <c r="O31" s="791"/>
      <c r="P31" s="791"/>
      <c r="Q31" s="791"/>
      <c r="R31" s="791"/>
      <c r="S31" s="791"/>
      <c r="T31" s="791"/>
      <c r="U31" s="791"/>
      <c r="V31" s="791"/>
    </row>
    <row r="32" spans="1:22" ht="20.25" customHeight="1">
      <c r="A32" s="2137"/>
      <c r="B32" s="1594"/>
      <c r="C32" s="249" t="s">
        <v>856</v>
      </c>
      <c r="D32" s="1583"/>
      <c r="E32" s="1583"/>
      <c r="F32" s="2137"/>
      <c r="G32" s="1583"/>
      <c r="H32" s="1583"/>
      <c r="I32" s="2137"/>
      <c r="J32" s="2137"/>
      <c r="K32" s="1583"/>
      <c r="L32" s="1583"/>
      <c r="M32" s="1596">
        <v>115082866.56600001</v>
      </c>
      <c r="N32" s="791"/>
      <c r="O32" s="791"/>
      <c r="P32" s="791"/>
      <c r="Q32" s="791"/>
      <c r="R32" s="791"/>
      <c r="S32" s="791"/>
      <c r="T32" s="846"/>
      <c r="U32" s="791"/>
      <c r="V32" s="791"/>
    </row>
    <row r="33" spans="1:22" ht="19.899999999999999" customHeight="1">
      <c r="A33" s="2137"/>
      <c r="B33" s="1594"/>
      <c r="C33" s="1607"/>
      <c r="D33" s="2137"/>
      <c r="E33" s="2137"/>
      <c r="F33" s="2137"/>
      <c r="G33" s="2137"/>
      <c r="H33" s="1583"/>
      <c r="I33" s="2137"/>
      <c r="J33" s="2137"/>
      <c r="K33" s="2137"/>
      <c r="L33" s="1583"/>
      <c r="M33" s="1611"/>
      <c r="N33" s="791"/>
      <c r="O33" s="791"/>
      <c r="P33" s="791"/>
      <c r="Q33" s="791"/>
      <c r="R33" s="791"/>
      <c r="S33" s="791"/>
      <c r="T33" s="844"/>
      <c r="U33" s="791"/>
      <c r="V33" s="791"/>
    </row>
    <row r="34" spans="1:22" ht="19.899999999999999" customHeight="1">
      <c r="A34" s="2137"/>
      <c r="B34" s="1594"/>
      <c r="C34" s="1612" t="s">
        <v>100</v>
      </c>
      <c r="D34" s="1583"/>
      <c r="E34" s="2137"/>
      <c r="F34" s="1583"/>
      <c r="G34" s="2137"/>
      <c r="H34" s="2137"/>
      <c r="I34" s="2137"/>
      <c r="J34" s="2137"/>
      <c r="K34" s="2137"/>
      <c r="L34" s="1583"/>
      <c r="M34" s="1611"/>
      <c r="N34" s="791"/>
      <c r="O34" s="791"/>
      <c r="P34" s="791"/>
      <c r="Q34" s="791"/>
      <c r="R34" s="791"/>
      <c r="S34" s="791"/>
      <c r="T34" s="844"/>
      <c r="U34" s="791"/>
      <c r="V34" s="791"/>
    </row>
    <row r="35" spans="1:22" ht="19.899999999999999" customHeight="1">
      <c r="A35" s="2137"/>
      <c r="B35" s="1594"/>
      <c r="C35" s="926"/>
      <c r="D35" s="1613" t="s">
        <v>101</v>
      </c>
      <c r="E35" s="1614"/>
      <c r="F35" s="1583"/>
      <c r="G35" s="2137"/>
      <c r="H35" s="2137"/>
      <c r="I35" s="2137"/>
      <c r="J35" s="2137"/>
      <c r="K35" s="2137"/>
      <c r="L35" s="1583"/>
      <c r="M35" s="1596"/>
      <c r="N35" s="791"/>
      <c r="O35" s="791"/>
      <c r="P35" s="791"/>
      <c r="Q35" s="791"/>
      <c r="R35" s="791"/>
      <c r="S35" s="791"/>
      <c r="T35" s="844"/>
      <c r="U35" s="791"/>
      <c r="V35" s="791"/>
    </row>
    <row r="36" spans="1:22" ht="19.899999999999999" customHeight="1">
      <c r="A36" s="2137"/>
      <c r="B36" s="1594"/>
      <c r="C36" s="926"/>
      <c r="D36" s="1613" t="s">
        <v>102</v>
      </c>
      <c r="E36" s="1614"/>
      <c r="F36" s="1583"/>
      <c r="G36" s="2137"/>
      <c r="H36" s="2137"/>
      <c r="I36" s="2137"/>
      <c r="J36" s="2137"/>
      <c r="K36" s="2137"/>
      <c r="L36" s="1583"/>
      <c r="M36" s="1596"/>
      <c r="N36" s="791"/>
      <c r="O36" s="791"/>
      <c r="P36" s="791"/>
      <c r="Q36" s="791"/>
      <c r="R36" s="791"/>
      <c r="S36" s="791"/>
      <c r="T36" s="844"/>
      <c r="U36" s="791"/>
      <c r="V36" s="791"/>
    </row>
    <row r="37" spans="1:22" ht="19.899999999999999" customHeight="1">
      <c r="A37" s="2137"/>
      <c r="B37" s="1594"/>
      <c r="C37" s="926"/>
      <c r="D37" s="1613" t="s">
        <v>103</v>
      </c>
      <c r="E37" s="1614"/>
      <c r="F37" s="1583"/>
      <c r="G37" s="2137"/>
      <c r="H37" s="2137"/>
      <c r="I37" s="2137"/>
      <c r="J37" s="2137"/>
      <c r="K37" s="2137"/>
      <c r="L37" s="1583"/>
      <c r="M37" s="1596">
        <v>21882.13</v>
      </c>
      <c r="N37" s="791"/>
      <c r="O37" s="791"/>
      <c r="P37" s="791"/>
      <c r="Q37" s="791"/>
      <c r="R37" s="791"/>
      <c r="S37" s="791"/>
      <c r="T37" s="844"/>
      <c r="U37" s="791"/>
      <c r="V37" s="791"/>
    </row>
    <row r="38" spans="1:22" ht="19.899999999999999" customHeight="1">
      <c r="A38" s="2137"/>
      <c r="B38" s="1594"/>
      <c r="C38" s="926"/>
      <c r="D38" s="1613" t="s">
        <v>104</v>
      </c>
      <c r="E38" s="1614"/>
      <c r="F38" s="1583"/>
      <c r="G38" s="2137"/>
      <c r="H38" s="2137"/>
      <c r="I38" s="2137"/>
      <c r="J38" s="2137"/>
      <c r="K38" s="1583"/>
      <c r="L38" s="1583"/>
      <c r="M38" s="1596">
        <v>0</v>
      </c>
      <c r="N38" s="791"/>
      <c r="O38" s="791"/>
      <c r="P38" s="791"/>
      <c r="Q38" s="791"/>
      <c r="R38" s="791"/>
      <c r="S38" s="791"/>
      <c r="T38" s="844"/>
      <c r="U38" s="791"/>
      <c r="V38" s="791"/>
    </row>
    <row r="39" spans="1:22" ht="19.899999999999999" customHeight="1">
      <c r="A39" s="2137"/>
      <c r="B39" s="1594"/>
      <c r="C39" s="926"/>
      <c r="D39" s="1613" t="s">
        <v>105</v>
      </c>
      <c r="E39" s="1615"/>
      <c r="F39" s="1583"/>
      <c r="G39" s="2137"/>
      <c r="H39" s="2137"/>
      <c r="I39" s="2137"/>
      <c r="J39" s="2137"/>
      <c r="K39" s="2137"/>
      <c r="L39" s="1583"/>
      <c r="M39" s="1596">
        <v>46836765.730000012</v>
      </c>
      <c r="N39" s="791"/>
      <c r="O39" s="791"/>
      <c r="P39" s="791"/>
      <c r="Q39" s="791"/>
      <c r="R39" s="791"/>
      <c r="S39" s="791"/>
      <c r="T39" s="844"/>
      <c r="U39" s="791"/>
      <c r="V39" s="791"/>
    </row>
    <row r="40" spans="1:22" ht="19.899999999999999" customHeight="1">
      <c r="A40" s="2137"/>
      <c r="B40" s="1594"/>
      <c r="C40" s="926"/>
      <c r="D40" s="1613" t="s">
        <v>106</v>
      </c>
      <c r="E40" s="1614"/>
      <c r="F40" s="2137"/>
      <c r="G40" s="2137"/>
      <c r="H40" s="2137"/>
      <c r="I40" s="2137"/>
      <c r="J40" s="2137"/>
      <c r="K40" s="2137"/>
      <c r="L40" s="1583"/>
      <c r="M40" s="1596">
        <v>0</v>
      </c>
      <c r="N40" s="791"/>
      <c r="O40" s="791"/>
      <c r="P40" s="791"/>
      <c r="Q40" s="791"/>
      <c r="R40" s="791"/>
      <c r="S40" s="791"/>
      <c r="T40" s="844"/>
      <c r="U40" s="791"/>
      <c r="V40" s="791"/>
    </row>
    <row r="41" spans="1:22" ht="19.899999999999999" customHeight="1">
      <c r="A41" s="2137"/>
      <c r="B41" s="1594"/>
      <c r="C41" s="926"/>
      <c r="D41" s="1613" t="s">
        <v>107</v>
      </c>
      <c r="E41" s="1614"/>
      <c r="F41" s="2137"/>
      <c r="G41" s="2137"/>
      <c r="H41" s="2137"/>
      <c r="I41" s="2137"/>
      <c r="J41" s="2137"/>
      <c r="K41" s="2137"/>
      <c r="L41" s="1583"/>
      <c r="M41" s="1596">
        <v>682395.36999999988</v>
      </c>
      <c r="N41" s="791"/>
      <c r="O41" s="791"/>
      <c r="P41" s="791"/>
      <c r="Q41" s="791"/>
      <c r="R41" s="791"/>
      <c r="S41" s="791"/>
      <c r="T41" s="844"/>
      <c r="U41" s="791"/>
      <c r="V41" s="791"/>
    </row>
    <row r="42" spans="1:22" ht="19.899999999999999" customHeight="1">
      <c r="A42" s="2137"/>
      <c r="B42" s="1594"/>
      <c r="C42" s="926"/>
      <c r="D42" s="1613" t="s">
        <v>108</v>
      </c>
      <c r="E42" s="1614"/>
      <c r="F42" s="2137"/>
      <c r="G42" s="2137"/>
      <c r="H42" s="2137"/>
      <c r="I42" s="2137"/>
      <c r="J42" s="2137"/>
      <c r="K42" s="2137"/>
      <c r="L42" s="1583"/>
      <c r="M42" s="1596">
        <v>1786534.4960000003</v>
      </c>
      <c r="N42" s="791"/>
      <c r="O42" s="791"/>
      <c r="P42" s="791"/>
      <c r="Q42" s="791"/>
      <c r="R42" s="791"/>
      <c r="S42" s="791"/>
      <c r="T42" s="844"/>
      <c r="U42" s="791"/>
      <c r="V42" s="791"/>
    </row>
    <row r="43" spans="1:22" ht="19.899999999999999" customHeight="1">
      <c r="A43" s="2137"/>
      <c r="B43" s="1594"/>
      <c r="C43" s="926"/>
      <c r="D43" s="1613" t="s">
        <v>109</v>
      </c>
      <c r="E43" s="1614"/>
      <c r="F43" s="2137"/>
      <c r="G43" s="2137"/>
      <c r="H43" s="2137"/>
      <c r="I43" s="2137"/>
      <c r="J43" s="2137"/>
      <c r="K43" s="2137"/>
      <c r="L43" s="1583"/>
      <c r="M43" s="1596">
        <v>54761883.909999996</v>
      </c>
      <c r="N43" s="791"/>
      <c r="O43" s="791"/>
      <c r="P43" s="791"/>
      <c r="Q43" s="791"/>
      <c r="R43" s="791"/>
      <c r="S43" s="791"/>
      <c r="T43" s="844"/>
      <c r="U43" s="791"/>
      <c r="V43" s="791"/>
    </row>
    <row r="44" spans="1:22" ht="19.899999999999999" customHeight="1">
      <c r="A44" s="2137"/>
      <c r="B44" s="1594"/>
      <c r="C44" s="926"/>
      <c r="D44" s="1616" t="s">
        <v>110</v>
      </c>
      <c r="E44" s="1614"/>
      <c r="F44" s="2137"/>
      <c r="G44" s="2137"/>
      <c r="H44" s="2137"/>
      <c r="I44" s="2137"/>
      <c r="J44" s="2137"/>
      <c r="K44" s="2137"/>
      <c r="L44" s="1583"/>
      <c r="M44" s="1596">
        <v>0</v>
      </c>
      <c r="N44" s="791"/>
      <c r="O44" s="791"/>
      <c r="P44" s="791"/>
      <c r="Q44" s="791"/>
      <c r="R44" s="791"/>
      <c r="S44" s="791"/>
      <c r="T44" s="844"/>
      <c r="U44" s="791"/>
      <c r="V44" s="791"/>
    </row>
    <row r="45" spans="1:22" ht="19.899999999999999" customHeight="1">
      <c r="A45" s="2137"/>
      <c r="B45" s="1594"/>
      <c r="C45" s="926"/>
      <c r="D45" s="1617" t="s">
        <v>320</v>
      </c>
      <c r="E45" s="1614"/>
      <c r="F45" s="2137"/>
      <c r="G45" s="2137"/>
      <c r="H45" s="2137"/>
      <c r="I45" s="2137"/>
      <c r="J45" s="2137"/>
      <c r="K45" s="2137"/>
      <c r="L45" s="1583"/>
      <c r="M45" s="1596"/>
      <c r="N45" s="791"/>
      <c r="O45" s="791"/>
      <c r="P45" s="791"/>
      <c r="Q45" s="791"/>
      <c r="R45" s="791"/>
      <c r="S45" s="791"/>
      <c r="T45" s="844"/>
      <c r="U45" s="791"/>
      <c r="V45" s="791"/>
    </row>
    <row r="46" spans="1:22" ht="19.899999999999999" customHeight="1">
      <c r="A46" s="2137"/>
      <c r="B46" s="1618">
        <f>+B29+1</f>
        <v>5</v>
      </c>
      <c r="C46" s="1619"/>
      <c r="D46" s="1619"/>
      <c r="E46" s="1619"/>
      <c r="F46" s="1619"/>
      <c r="G46" s="1619"/>
      <c r="H46" s="1619"/>
      <c r="I46" s="249" t="s">
        <v>901</v>
      </c>
      <c r="J46" s="1620"/>
      <c r="K46" s="1583"/>
      <c r="L46" s="1583"/>
      <c r="M46" s="1621">
        <f>+M32-SUM(M35:M45)</f>
        <v>10993404.930000007</v>
      </c>
      <c r="N46" s="791"/>
      <c r="O46" s="791"/>
      <c r="P46" s="791"/>
      <c r="Q46" s="791"/>
      <c r="R46" s="791"/>
      <c r="S46" s="791"/>
      <c r="T46" s="844"/>
      <c r="U46" s="791"/>
      <c r="V46" s="791"/>
    </row>
    <row r="47" spans="1:22" ht="19.899999999999999" customHeight="1">
      <c r="A47" s="2137"/>
      <c r="B47" s="1618"/>
      <c r="C47" s="1619"/>
      <c r="D47" s="1619"/>
      <c r="E47" s="1619"/>
      <c r="F47" s="1619"/>
      <c r="G47" s="1619"/>
      <c r="H47" s="1619"/>
      <c r="I47" s="1619"/>
      <c r="J47" s="1619"/>
      <c r="K47" s="2137"/>
      <c r="L47" s="1622"/>
      <c r="M47" s="1599"/>
      <c r="N47" s="791"/>
      <c r="O47" s="791"/>
      <c r="P47" s="791"/>
      <c r="Q47" s="791"/>
      <c r="R47" s="791"/>
      <c r="S47" s="791"/>
      <c r="T47" s="844"/>
      <c r="U47" s="791"/>
      <c r="V47" s="791"/>
    </row>
    <row r="48" spans="1:22" ht="39.75" customHeight="1">
      <c r="A48" s="2137"/>
      <c r="B48" s="1618">
        <f>+B46+1</f>
        <v>6</v>
      </c>
      <c r="C48" s="2495" t="s">
        <v>852</v>
      </c>
      <c r="D48" s="2495"/>
      <c r="E48" s="2495"/>
      <c r="F48" s="2495"/>
      <c r="G48" s="2495"/>
      <c r="H48" s="2495"/>
      <c r="I48" s="2495"/>
      <c r="J48" s="2495"/>
      <c r="K48" s="1596"/>
      <c r="L48" s="1597"/>
      <c r="M48" s="1596"/>
      <c r="N48" s="791"/>
      <c r="O48" s="791"/>
      <c r="P48" s="791"/>
      <c r="Q48" s="791"/>
      <c r="R48" s="791"/>
      <c r="S48" s="791"/>
      <c r="T48" s="844"/>
      <c r="U48" s="791"/>
      <c r="V48" s="791"/>
    </row>
    <row r="49" spans="1:22" ht="19.899999999999999" customHeight="1">
      <c r="A49" s="2137"/>
      <c r="B49" s="1618"/>
      <c r="C49" s="248"/>
      <c r="D49" s="1623"/>
      <c r="E49" s="1623"/>
      <c r="F49" s="1624"/>
      <c r="G49" s="1625"/>
      <c r="H49" s="1624"/>
      <c r="I49" s="1624"/>
      <c r="J49" s="1624"/>
      <c r="K49" s="1626"/>
      <c r="L49" s="1597"/>
      <c r="M49" s="1626"/>
      <c r="N49" s="791"/>
      <c r="O49" s="791"/>
      <c r="P49" s="791"/>
      <c r="Q49" s="791"/>
      <c r="R49" s="791"/>
      <c r="S49" s="791"/>
      <c r="T49" s="844"/>
      <c r="U49" s="791"/>
      <c r="V49" s="791"/>
    </row>
    <row r="50" spans="1:22" ht="19.5">
      <c r="A50" s="2137"/>
      <c r="B50" s="1618">
        <f>+B48+1</f>
        <v>7</v>
      </c>
      <c r="C50" s="2495" t="s">
        <v>853</v>
      </c>
      <c r="D50" s="2495"/>
      <c r="E50" s="2495"/>
      <c r="F50" s="2495"/>
      <c r="G50" s="2495"/>
      <c r="H50" s="2495"/>
      <c r="I50" s="2495"/>
      <c r="J50" s="2495"/>
      <c r="K50" s="1596"/>
      <c r="L50" s="1597"/>
      <c r="M50" s="1596"/>
      <c r="N50" s="791"/>
      <c r="O50" s="791"/>
      <c r="P50" s="791"/>
      <c r="Q50" s="791"/>
      <c r="R50" s="791"/>
      <c r="S50" s="791"/>
      <c r="T50" s="844"/>
      <c r="U50" s="791"/>
      <c r="V50" s="791"/>
    </row>
    <row r="51" spans="1:22" ht="19.899999999999999" customHeight="1">
      <c r="A51" s="2137"/>
      <c r="B51" s="1618"/>
      <c r="C51" s="249"/>
      <c r="D51" s="1620"/>
      <c r="E51" s="1620"/>
      <c r="F51" s="1619"/>
      <c r="G51" s="1627"/>
      <c r="H51" s="1619"/>
      <c r="I51" s="1619"/>
      <c r="J51" s="1619"/>
      <c r="K51" s="1626"/>
      <c r="L51" s="1597"/>
      <c r="M51" s="1626"/>
      <c r="N51" s="791"/>
      <c r="O51" s="791"/>
      <c r="P51" s="791"/>
      <c r="Q51" s="791"/>
      <c r="R51" s="791"/>
      <c r="S51" s="791"/>
      <c r="T51" s="844"/>
      <c r="U51" s="791"/>
      <c r="V51" s="791"/>
    </row>
    <row r="52" spans="1:22" ht="20.25" customHeight="1" thickBot="1">
      <c r="A52" s="2137"/>
      <c r="B52" s="1618">
        <f>+B50+1</f>
        <v>8</v>
      </c>
      <c r="C52" s="249" t="str">
        <f>"Total Revenue Credits - Sum lines "&amp;B12&amp;" through "&amp;B50&amp;""</f>
        <v>Total Revenue Credits - Sum lines 1 through 7</v>
      </c>
      <c r="D52" s="1620"/>
      <c r="E52" s="1620"/>
      <c r="F52" s="1619"/>
      <c r="G52" s="1620"/>
      <c r="H52" s="1620"/>
      <c r="I52" s="1619"/>
      <c r="J52" s="1619"/>
      <c r="K52" s="2137"/>
      <c r="L52" s="2137"/>
      <c r="M52" s="1628">
        <f>+M12+M14+M22+M29+M46+M48+M50</f>
        <v>12378321.040000007</v>
      </c>
      <c r="N52" s="791"/>
      <c r="O52" s="791"/>
      <c r="P52" s="791"/>
      <c r="Q52" s="791"/>
      <c r="R52" s="791"/>
      <c r="S52" s="791"/>
      <c r="T52" s="846"/>
      <c r="U52" s="791"/>
      <c r="V52" s="791"/>
    </row>
    <row r="53" spans="1:22" ht="19.899999999999999" customHeight="1" thickTop="1">
      <c r="A53" s="2137"/>
      <c r="B53" s="2137"/>
      <c r="C53" s="2137"/>
      <c r="D53" s="783"/>
      <c r="E53" s="2137"/>
      <c r="F53" s="2137"/>
      <c r="G53" s="2137"/>
      <c r="H53" s="2137"/>
      <c r="I53" s="2137"/>
      <c r="J53" s="2137"/>
      <c r="K53" s="2137"/>
      <c r="L53" s="1622"/>
      <c r="M53" s="791"/>
      <c r="N53" s="791"/>
      <c r="O53" s="791"/>
      <c r="P53" s="791"/>
      <c r="Q53" s="791"/>
      <c r="R53" s="791"/>
      <c r="S53" s="791"/>
      <c r="T53" s="844"/>
      <c r="U53" s="791"/>
      <c r="V53" s="791"/>
    </row>
    <row r="54" spans="1:22" ht="20.25">
      <c r="A54" s="2137"/>
      <c r="B54" s="1629"/>
      <c r="C54" s="1629"/>
      <c r="D54" s="1583"/>
      <c r="E54" s="1583"/>
      <c r="F54" s="1630"/>
      <c r="G54" s="1630"/>
      <c r="H54" s="1630"/>
      <c r="I54" s="1630"/>
      <c r="J54" s="1630"/>
      <c r="K54" s="1630"/>
      <c r="L54" s="2140"/>
      <c r="M54" s="791"/>
      <c r="N54" s="1425"/>
      <c r="O54" s="1425"/>
      <c r="P54" s="1425"/>
      <c r="Q54" s="1425"/>
      <c r="R54" s="779"/>
      <c r="S54" s="779"/>
      <c r="T54" s="791"/>
      <c r="U54" s="791"/>
      <c r="V54" s="791"/>
    </row>
    <row r="55" spans="1:22" ht="12.75">
      <c r="A55" s="2137"/>
      <c r="B55" s="2137"/>
      <c r="C55" s="1583"/>
      <c r="D55" s="1583"/>
      <c r="E55" s="1583"/>
      <c r="F55" s="1630"/>
      <c r="G55" s="1630"/>
      <c r="H55" s="1630"/>
      <c r="I55" s="1630"/>
      <c r="J55" s="1630"/>
      <c r="K55" s="1630"/>
      <c r="L55" s="2137"/>
      <c r="M55" s="791"/>
      <c r="N55" s="1425"/>
      <c r="O55" s="1425"/>
      <c r="P55" s="1425"/>
      <c r="Q55" s="1425"/>
      <c r="R55" s="791"/>
      <c r="S55" s="791"/>
      <c r="T55" s="791"/>
      <c r="U55" s="791"/>
      <c r="V55" s="791"/>
    </row>
    <row r="56" spans="1:22">
      <c r="A56" s="2137"/>
      <c r="B56" s="2137"/>
      <c r="C56" s="1599" t="s">
        <v>854</v>
      </c>
      <c r="E56" s="1583"/>
      <c r="F56" s="1630"/>
      <c r="G56" s="1630"/>
      <c r="H56" s="1630"/>
      <c r="I56" s="1630"/>
      <c r="J56" s="1630"/>
      <c r="K56" s="1630"/>
      <c r="L56" s="2137"/>
      <c r="M56" s="791"/>
      <c r="N56" s="1425"/>
      <c r="O56" s="1425"/>
      <c r="P56" s="1425"/>
      <c r="Q56" s="1425"/>
      <c r="R56" s="791"/>
      <c r="S56" s="791"/>
      <c r="T56" s="791"/>
      <c r="U56" s="791"/>
      <c r="V56" s="791"/>
    </row>
    <row r="57" spans="1:22" ht="12.75" customHeight="1">
      <c r="A57" s="791"/>
      <c r="B57" s="791"/>
      <c r="C57" s="791"/>
      <c r="D57" s="791"/>
      <c r="E57" s="791"/>
      <c r="F57" s="791"/>
      <c r="G57" s="791"/>
      <c r="H57" s="791"/>
      <c r="I57" s="791"/>
      <c r="J57" s="791"/>
      <c r="K57" s="791"/>
      <c r="L57" s="791"/>
      <c r="M57" s="791"/>
      <c r="N57" s="791"/>
      <c r="O57" s="791"/>
      <c r="P57" s="791"/>
      <c r="Q57" s="791"/>
      <c r="R57" s="791"/>
      <c r="S57" s="791"/>
      <c r="T57" s="791"/>
      <c r="U57" s="791"/>
      <c r="V57" s="791"/>
    </row>
    <row r="58" spans="1:22" ht="12.75" customHeight="1">
      <c r="A58" s="791"/>
      <c r="B58" s="791"/>
      <c r="C58" s="791"/>
      <c r="D58" s="791"/>
      <c r="E58" s="791"/>
      <c r="F58" s="791"/>
      <c r="G58" s="791"/>
      <c r="H58" s="791"/>
      <c r="I58" s="791"/>
      <c r="J58" s="791"/>
      <c r="K58" s="791"/>
      <c r="L58" s="791"/>
      <c r="M58" s="791"/>
      <c r="N58" s="791"/>
      <c r="O58" s="791"/>
      <c r="P58" s="791"/>
      <c r="Q58" s="791"/>
      <c r="R58" s="791"/>
      <c r="S58" s="791"/>
      <c r="T58" s="791"/>
      <c r="U58" s="791"/>
      <c r="V58" s="791"/>
    </row>
    <row r="59" spans="1:22" ht="12.75" customHeight="1">
      <c r="A59" s="791"/>
      <c r="B59" s="791"/>
      <c r="C59" s="791"/>
      <c r="D59" s="791"/>
      <c r="E59" s="791"/>
      <c r="F59" s="791"/>
      <c r="G59" s="791"/>
      <c r="H59" s="791"/>
      <c r="I59" s="791"/>
      <c r="J59" s="791"/>
      <c r="K59" s="791"/>
      <c r="L59" s="791"/>
      <c r="M59" s="791"/>
      <c r="N59" s="791"/>
      <c r="O59" s="791"/>
      <c r="P59" s="791"/>
      <c r="Q59" s="791"/>
      <c r="R59" s="791"/>
      <c r="S59" s="791"/>
      <c r="T59" s="791"/>
      <c r="U59" s="791"/>
      <c r="V59" s="791"/>
    </row>
    <row r="60" spans="1:22" ht="12.75" customHeight="1">
      <c r="A60" s="791"/>
      <c r="B60" s="791"/>
      <c r="C60" s="791"/>
      <c r="D60" s="791"/>
      <c r="E60" s="791"/>
      <c r="F60" s="791"/>
      <c r="G60" s="791"/>
      <c r="H60" s="791"/>
      <c r="I60" s="791"/>
      <c r="J60" s="791"/>
      <c r="K60" s="791"/>
      <c r="L60" s="791"/>
      <c r="M60" s="791"/>
      <c r="N60" s="791"/>
      <c r="O60" s="791"/>
      <c r="P60" s="791"/>
      <c r="Q60" s="791"/>
      <c r="R60" s="791"/>
      <c r="S60" s="791"/>
      <c r="T60" s="791"/>
      <c r="U60" s="791"/>
      <c r="V60" s="791"/>
    </row>
    <row r="61" spans="1:22" ht="12.75" customHeight="1">
      <c r="A61" s="791"/>
      <c r="B61" s="791"/>
      <c r="C61" s="791"/>
      <c r="D61" s="791"/>
      <c r="E61" s="791"/>
      <c r="F61" s="791"/>
      <c r="G61" s="791"/>
      <c r="H61" s="791"/>
      <c r="I61" s="791"/>
      <c r="J61" s="791"/>
      <c r="K61" s="791"/>
      <c r="L61" s="791"/>
      <c r="M61" s="791"/>
      <c r="N61" s="791"/>
      <c r="O61" s="791"/>
      <c r="P61" s="791"/>
      <c r="Q61" s="791"/>
      <c r="R61" s="791"/>
      <c r="S61" s="791"/>
      <c r="T61" s="791"/>
      <c r="U61" s="791"/>
      <c r="V61" s="791"/>
    </row>
    <row r="62" spans="1:22" ht="12.75" customHeight="1">
      <c r="A62" s="791"/>
      <c r="B62" s="791"/>
      <c r="C62" s="791"/>
      <c r="D62" s="791"/>
      <c r="E62" s="791"/>
      <c r="F62" s="791"/>
      <c r="G62" s="791"/>
      <c r="H62" s="791"/>
      <c r="I62" s="791"/>
      <c r="J62" s="791"/>
      <c r="K62" s="791"/>
      <c r="L62" s="791"/>
      <c r="M62" s="791"/>
      <c r="N62" s="791"/>
      <c r="O62" s="791"/>
      <c r="P62" s="791"/>
      <c r="Q62" s="791"/>
      <c r="R62" s="791"/>
      <c r="S62" s="791"/>
      <c r="T62" s="791"/>
      <c r="U62" s="791"/>
      <c r="V62" s="791"/>
    </row>
    <row r="63" spans="1:22" ht="12.75" customHeight="1">
      <c r="A63" s="791"/>
      <c r="B63" s="791"/>
      <c r="C63" s="791"/>
      <c r="D63" s="791"/>
      <c r="E63" s="791"/>
      <c r="F63" s="791"/>
      <c r="G63" s="791"/>
      <c r="H63" s="791"/>
      <c r="I63" s="791"/>
      <c r="J63" s="791"/>
      <c r="K63" s="791"/>
      <c r="L63" s="791"/>
      <c r="M63" s="791"/>
      <c r="N63" s="791"/>
      <c r="O63" s="791"/>
      <c r="P63" s="791"/>
      <c r="Q63" s="791"/>
      <c r="R63" s="791"/>
      <c r="S63" s="791"/>
      <c r="T63" s="791"/>
      <c r="U63" s="791"/>
      <c r="V63" s="791"/>
    </row>
    <row r="64" spans="1:22" ht="12.75" customHeight="1">
      <c r="A64" s="791"/>
      <c r="B64" s="791"/>
      <c r="C64" s="791"/>
      <c r="D64" s="791"/>
      <c r="E64" s="791"/>
      <c r="F64" s="791"/>
      <c r="G64" s="791"/>
      <c r="H64" s="791"/>
      <c r="I64" s="791"/>
      <c r="J64" s="791"/>
      <c r="K64" s="791"/>
      <c r="L64" s="791"/>
      <c r="M64" s="791"/>
      <c r="N64" s="791"/>
      <c r="O64" s="791"/>
      <c r="P64" s="791"/>
      <c r="Q64" s="791"/>
      <c r="R64" s="791"/>
      <c r="S64" s="791"/>
      <c r="T64" s="791"/>
      <c r="U64" s="791"/>
      <c r="V64" s="791"/>
    </row>
    <row r="65" spans="1:22" ht="12.75" customHeight="1">
      <c r="A65" s="791"/>
      <c r="B65" s="791"/>
      <c r="C65" s="791"/>
      <c r="D65" s="791"/>
      <c r="E65" s="791"/>
      <c r="F65" s="791"/>
      <c r="G65" s="791"/>
      <c r="H65" s="791"/>
      <c r="I65" s="791"/>
      <c r="J65" s="791"/>
      <c r="K65" s="791"/>
      <c r="L65" s="791"/>
      <c r="M65" s="791"/>
      <c r="N65" s="791"/>
      <c r="O65" s="791"/>
      <c r="P65" s="791"/>
      <c r="Q65" s="791"/>
      <c r="R65" s="791"/>
      <c r="S65" s="791"/>
      <c r="T65" s="791"/>
      <c r="U65" s="791"/>
      <c r="V65" s="791"/>
    </row>
    <row r="66" spans="1:22" ht="12.75">
      <c r="A66" s="791"/>
      <c r="B66" s="791"/>
      <c r="C66" s="791"/>
      <c r="D66" s="791"/>
      <c r="E66" s="791"/>
      <c r="F66" s="791"/>
      <c r="G66" s="791"/>
      <c r="H66" s="791"/>
      <c r="I66" s="791"/>
      <c r="J66" s="791"/>
      <c r="K66" s="791"/>
      <c r="L66" s="791"/>
      <c r="M66" s="791"/>
      <c r="N66" s="791"/>
      <c r="O66" s="791"/>
      <c r="P66" s="791"/>
      <c r="Q66" s="791"/>
      <c r="R66" s="791"/>
      <c r="S66" s="791"/>
      <c r="T66" s="791"/>
      <c r="U66" s="791"/>
      <c r="V66" s="791"/>
    </row>
    <row r="67" spans="1:22" ht="12.75">
      <c r="A67" s="791"/>
      <c r="B67" s="791"/>
      <c r="C67" s="791"/>
      <c r="D67" s="791"/>
      <c r="E67" s="791"/>
      <c r="F67" s="791"/>
      <c r="G67" s="791"/>
      <c r="H67" s="791"/>
      <c r="I67" s="791"/>
      <c r="J67" s="791"/>
      <c r="K67" s="791"/>
      <c r="L67" s="791"/>
      <c r="M67" s="791"/>
      <c r="N67" s="791"/>
      <c r="O67" s="791"/>
      <c r="P67" s="791"/>
      <c r="Q67" s="791"/>
      <c r="R67" s="791"/>
      <c r="S67" s="791"/>
      <c r="T67" s="791"/>
      <c r="U67" s="791"/>
      <c r="V67" s="791"/>
    </row>
    <row r="68" spans="1:22" ht="12.75">
      <c r="A68" s="791"/>
      <c r="B68" s="791"/>
      <c r="C68" s="791"/>
      <c r="D68" s="791"/>
      <c r="E68" s="791"/>
      <c r="F68" s="791"/>
      <c r="G68" s="791"/>
      <c r="H68" s="791"/>
      <c r="I68" s="791"/>
      <c r="J68" s="791"/>
      <c r="K68" s="791"/>
      <c r="L68" s="791"/>
      <c r="M68" s="791"/>
      <c r="N68" s="791"/>
      <c r="O68" s="791"/>
      <c r="P68" s="791"/>
      <c r="Q68" s="791"/>
      <c r="R68" s="791"/>
      <c r="S68" s="791"/>
      <c r="T68" s="791"/>
      <c r="U68" s="791"/>
      <c r="V68" s="791"/>
    </row>
    <row r="69" spans="1:22" ht="12.75">
      <c r="A69" s="791"/>
      <c r="B69" s="791"/>
      <c r="C69" s="791"/>
      <c r="D69" s="791"/>
      <c r="E69" s="791"/>
      <c r="F69" s="791"/>
      <c r="G69" s="791"/>
      <c r="H69" s="791"/>
      <c r="I69" s="791"/>
      <c r="J69" s="791"/>
      <c r="K69" s="791"/>
      <c r="L69" s="791"/>
      <c r="M69" s="791"/>
      <c r="N69" s="791"/>
      <c r="O69" s="791"/>
      <c r="P69" s="791"/>
      <c r="Q69" s="791"/>
      <c r="R69" s="791"/>
      <c r="S69" s="791"/>
      <c r="T69" s="791"/>
      <c r="U69" s="791"/>
      <c r="V69" s="791"/>
    </row>
    <row r="70" spans="1:22" ht="12.75">
      <c r="A70" s="791"/>
      <c r="B70" s="791"/>
      <c r="C70" s="791"/>
      <c r="D70" s="791"/>
      <c r="E70" s="791"/>
      <c r="F70" s="791"/>
      <c r="G70" s="791"/>
      <c r="H70" s="791"/>
      <c r="I70" s="791"/>
      <c r="J70" s="791"/>
      <c r="K70" s="791"/>
      <c r="L70" s="791"/>
      <c r="M70" s="791"/>
      <c r="N70" s="791"/>
      <c r="O70" s="791"/>
      <c r="P70" s="791"/>
      <c r="Q70" s="791"/>
      <c r="R70" s="791"/>
      <c r="S70" s="791"/>
      <c r="T70" s="791"/>
      <c r="U70" s="791"/>
      <c r="V70" s="791"/>
    </row>
    <row r="71" spans="1:22" ht="12.75">
      <c r="A71" s="791"/>
      <c r="B71" s="791"/>
      <c r="C71" s="791"/>
      <c r="D71" s="791"/>
      <c r="E71" s="791"/>
      <c r="F71" s="791"/>
      <c r="G71" s="791"/>
      <c r="H71" s="791"/>
      <c r="I71" s="791"/>
      <c r="J71" s="791"/>
      <c r="K71" s="791"/>
      <c r="L71" s="791"/>
      <c r="M71" s="791"/>
      <c r="N71" s="791"/>
      <c r="O71" s="791"/>
      <c r="P71" s="791"/>
      <c r="Q71" s="791"/>
      <c r="R71" s="791"/>
      <c r="S71" s="791"/>
      <c r="T71" s="791"/>
      <c r="U71" s="791"/>
      <c r="V71" s="791"/>
    </row>
    <row r="72" spans="1:22" ht="12.75">
      <c r="A72" s="791"/>
      <c r="B72" s="791"/>
      <c r="C72" s="791"/>
      <c r="D72" s="791"/>
      <c r="E72" s="791"/>
      <c r="F72" s="791"/>
      <c r="G72" s="791"/>
      <c r="H72" s="791"/>
      <c r="I72" s="791"/>
      <c r="J72" s="791"/>
      <c r="K72" s="791"/>
      <c r="L72" s="791"/>
      <c r="M72" s="791"/>
      <c r="N72" s="791"/>
      <c r="O72" s="791"/>
      <c r="P72" s="791"/>
      <c r="Q72" s="791"/>
      <c r="R72" s="791"/>
      <c r="S72" s="791"/>
      <c r="T72" s="791"/>
      <c r="U72" s="791"/>
      <c r="V72" s="791"/>
    </row>
    <row r="73" spans="1:22" ht="12.75">
      <c r="A73" s="791"/>
      <c r="B73" s="791"/>
      <c r="C73" s="791"/>
      <c r="D73" s="791"/>
      <c r="E73" s="791"/>
      <c r="F73" s="791"/>
      <c r="G73" s="791"/>
      <c r="H73" s="791"/>
      <c r="I73" s="791"/>
      <c r="J73" s="791"/>
      <c r="K73" s="791"/>
      <c r="L73" s="791"/>
      <c r="M73" s="791"/>
      <c r="N73" s="791"/>
      <c r="O73" s="791"/>
      <c r="P73" s="791"/>
      <c r="Q73" s="791"/>
      <c r="R73" s="791"/>
      <c r="S73" s="791"/>
      <c r="T73" s="791"/>
      <c r="U73" s="791"/>
      <c r="V73" s="791"/>
    </row>
    <row r="74" spans="1:22" ht="12.75">
      <c r="A74" s="791"/>
      <c r="B74" s="791"/>
      <c r="C74" s="791"/>
      <c r="D74" s="791"/>
      <c r="E74" s="791"/>
      <c r="F74" s="791"/>
      <c r="G74" s="791"/>
      <c r="H74" s="791"/>
      <c r="I74" s="791"/>
      <c r="J74" s="791"/>
      <c r="K74" s="791"/>
      <c r="L74" s="791"/>
      <c r="M74" s="791"/>
      <c r="N74" s="791"/>
      <c r="O74" s="791"/>
      <c r="P74" s="791"/>
      <c r="Q74" s="791"/>
      <c r="R74" s="791"/>
      <c r="S74" s="791"/>
      <c r="T74" s="791"/>
      <c r="U74" s="791"/>
      <c r="V74" s="791"/>
    </row>
    <row r="75" spans="1:22" ht="12.75">
      <c r="A75" s="791"/>
      <c r="B75" s="791"/>
      <c r="C75" s="791"/>
      <c r="D75" s="791"/>
      <c r="E75" s="791"/>
      <c r="F75" s="791"/>
      <c r="G75" s="791"/>
      <c r="H75" s="791"/>
      <c r="I75" s="791"/>
      <c r="J75" s="791"/>
      <c r="K75" s="791"/>
      <c r="L75" s="791"/>
      <c r="M75" s="791"/>
      <c r="N75" s="791"/>
      <c r="O75" s="791"/>
      <c r="P75" s="791"/>
      <c r="Q75" s="791"/>
      <c r="R75" s="791"/>
      <c r="S75" s="791"/>
      <c r="T75" s="791"/>
      <c r="U75" s="791"/>
      <c r="V75" s="791"/>
    </row>
    <row r="76" spans="1:22" ht="12.75">
      <c r="A76" s="791"/>
      <c r="B76" s="791"/>
      <c r="C76" s="791"/>
      <c r="D76" s="791"/>
      <c r="E76" s="791"/>
      <c r="F76" s="791"/>
      <c r="G76" s="791"/>
      <c r="H76" s="791"/>
      <c r="I76" s="791"/>
      <c r="J76" s="791"/>
      <c r="K76" s="791"/>
      <c r="L76" s="791"/>
      <c r="M76" s="791"/>
      <c r="N76" s="791"/>
      <c r="O76" s="791"/>
      <c r="P76" s="791"/>
      <c r="Q76" s="791"/>
      <c r="R76" s="791"/>
      <c r="S76" s="791"/>
      <c r="T76" s="791"/>
      <c r="U76" s="791"/>
      <c r="V76" s="791"/>
    </row>
    <row r="77" spans="1:22" ht="12.75">
      <c r="A77" s="791"/>
      <c r="B77" s="791"/>
      <c r="C77" s="791"/>
      <c r="D77" s="791"/>
      <c r="E77" s="791"/>
      <c r="F77" s="791"/>
      <c r="G77" s="791"/>
      <c r="H77" s="791"/>
      <c r="I77" s="791"/>
      <c r="J77" s="791"/>
      <c r="K77" s="791"/>
      <c r="L77" s="791"/>
      <c r="M77" s="791"/>
      <c r="N77" s="791"/>
      <c r="O77" s="791"/>
      <c r="P77" s="791"/>
      <c r="Q77" s="791"/>
      <c r="R77" s="791"/>
      <c r="S77" s="791"/>
      <c r="T77" s="791"/>
      <c r="U77" s="791"/>
      <c r="V77" s="791"/>
    </row>
    <row r="78" spans="1:22" ht="12.75">
      <c r="A78" s="791"/>
      <c r="B78" s="791"/>
      <c r="C78" s="791"/>
      <c r="D78" s="791"/>
      <c r="E78" s="791"/>
      <c r="F78" s="791"/>
      <c r="G78" s="791"/>
      <c r="H78" s="791"/>
      <c r="I78" s="791"/>
      <c r="J78" s="791"/>
      <c r="K78" s="791"/>
      <c r="L78" s="791"/>
      <c r="M78" s="791"/>
      <c r="N78" s="791"/>
      <c r="O78" s="791"/>
      <c r="P78" s="791"/>
      <c r="Q78" s="791"/>
      <c r="R78" s="791"/>
      <c r="S78" s="791"/>
      <c r="T78" s="791"/>
      <c r="U78" s="791"/>
      <c r="V78" s="791"/>
    </row>
    <row r="79" spans="1:22" ht="12.75">
      <c r="A79" s="791"/>
      <c r="B79" s="791"/>
      <c r="C79" s="791"/>
      <c r="D79" s="791"/>
      <c r="E79" s="791"/>
      <c r="F79" s="791"/>
      <c r="G79" s="791"/>
      <c r="H79" s="791"/>
      <c r="I79" s="791"/>
      <c r="J79" s="791"/>
      <c r="K79" s="791"/>
      <c r="L79" s="791"/>
      <c r="M79" s="791"/>
      <c r="N79" s="791"/>
      <c r="O79" s="791"/>
      <c r="P79" s="791"/>
      <c r="Q79" s="791"/>
      <c r="R79" s="791"/>
      <c r="S79" s="791"/>
      <c r="T79" s="791"/>
      <c r="U79" s="791"/>
      <c r="V79" s="791"/>
    </row>
    <row r="80" spans="1:22" ht="12.75">
      <c r="A80" s="791"/>
      <c r="B80" s="791"/>
      <c r="C80" s="791"/>
      <c r="D80" s="791"/>
      <c r="E80" s="791"/>
      <c r="F80" s="791"/>
      <c r="G80" s="791"/>
      <c r="H80" s="791"/>
      <c r="I80" s="791"/>
      <c r="J80" s="791"/>
      <c r="K80" s="791"/>
      <c r="L80" s="791"/>
      <c r="M80" s="791"/>
      <c r="N80" s="791"/>
      <c r="O80" s="791"/>
      <c r="P80" s="791"/>
      <c r="Q80" s="791"/>
      <c r="R80" s="791"/>
      <c r="S80" s="791"/>
      <c r="T80" s="791"/>
      <c r="U80" s="791"/>
      <c r="V80" s="791"/>
    </row>
    <row r="81" spans="1:22" ht="12.75">
      <c r="A81" s="791"/>
      <c r="B81" s="791"/>
      <c r="C81" s="791"/>
      <c r="D81" s="791"/>
      <c r="E81" s="791"/>
      <c r="F81" s="791"/>
      <c r="G81" s="791"/>
      <c r="H81" s="791"/>
      <c r="I81" s="791"/>
      <c r="J81" s="791"/>
      <c r="K81" s="791"/>
      <c r="L81" s="791"/>
      <c r="M81" s="791"/>
      <c r="N81" s="791"/>
      <c r="O81" s="791"/>
      <c r="P81" s="791"/>
      <c r="Q81" s="791"/>
      <c r="R81" s="791"/>
      <c r="S81" s="791"/>
      <c r="T81" s="791"/>
      <c r="U81" s="791"/>
      <c r="V81" s="791"/>
    </row>
    <row r="82" spans="1:22" ht="12.75">
      <c r="A82" s="791"/>
      <c r="B82" s="791"/>
      <c r="C82" s="791"/>
      <c r="D82" s="791"/>
      <c r="E82" s="791"/>
      <c r="F82" s="791"/>
      <c r="G82" s="791"/>
      <c r="H82" s="791"/>
      <c r="I82" s="791"/>
      <c r="J82" s="791"/>
      <c r="K82" s="791"/>
      <c r="L82" s="791"/>
      <c r="M82" s="791"/>
      <c r="N82" s="791"/>
      <c r="O82" s="791"/>
      <c r="P82" s="791"/>
      <c r="Q82" s="791"/>
      <c r="R82" s="791"/>
      <c r="S82" s="791"/>
      <c r="T82" s="791"/>
      <c r="U82" s="791"/>
      <c r="V82" s="791"/>
    </row>
    <row r="83" spans="1:22" ht="12.75">
      <c r="A83" s="791"/>
      <c r="B83" s="791"/>
      <c r="C83" s="791"/>
      <c r="D83" s="791"/>
      <c r="E83" s="791"/>
      <c r="F83" s="791"/>
      <c r="G83" s="791"/>
      <c r="H83" s="791"/>
      <c r="I83" s="791"/>
      <c r="J83" s="791"/>
      <c r="K83" s="791"/>
      <c r="L83" s="791"/>
      <c r="M83" s="791"/>
      <c r="N83" s="791"/>
      <c r="O83" s="791"/>
      <c r="P83" s="791"/>
      <c r="Q83" s="791"/>
      <c r="R83" s="791"/>
      <c r="S83" s="791"/>
      <c r="T83" s="791"/>
      <c r="U83" s="791"/>
      <c r="V83" s="791"/>
    </row>
    <row r="84" spans="1:22" ht="12.75">
      <c r="A84" s="791"/>
      <c r="B84" s="791"/>
      <c r="C84" s="791"/>
      <c r="D84" s="791"/>
      <c r="E84" s="791"/>
      <c r="F84" s="791"/>
      <c r="G84" s="791"/>
      <c r="H84" s="791"/>
      <c r="I84" s="791"/>
      <c r="J84" s="791"/>
      <c r="K84" s="791"/>
      <c r="L84" s="791"/>
      <c r="M84" s="791"/>
      <c r="N84" s="791"/>
      <c r="O84" s="791"/>
      <c r="P84" s="791"/>
      <c r="Q84" s="791"/>
      <c r="R84" s="791"/>
      <c r="S84" s="791"/>
      <c r="T84" s="791"/>
      <c r="U84" s="791"/>
      <c r="V84" s="791"/>
    </row>
    <row r="85" spans="1:22" ht="12.75">
      <c r="A85" s="791"/>
      <c r="B85" s="791"/>
      <c r="C85" s="791"/>
      <c r="D85" s="791"/>
      <c r="E85" s="791"/>
      <c r="F85" s="791"/>
      <c r="G85" s="791"/>
      <c r="H85" s="791"/>
      <c r="I85" s="791"/>
      <c r="J85" s="791"/>
      <c r="K85" s="791"/>
      <c r="L85" s="791"/>
      <c r="M85" s="791"/>
      <c r="N85" s="791"/>
      <c r="O85" s="791"/>
      <c r="P85" s="791"/>
      <c r="Q85" s="791"/>
      <c r="R85" s="791"/>
      <c r="S85" s="791"/>
      <c r="T85" s="791"/>
      <c r="U85" s="791"/>
      <c r="V85" s="791"/>
    </row>
    <row r="86" spans="1:22" ht="12.75" customHeight="1">
      <c r="A86" s="791"/>
      <c r="B86" s="791"/>
      <c r="C86" s="791"/>
      <c r="D86" s="791"/>
      <c r="E86" s="791"/>
      <c r="F86" s="791"/>
      <c r="G86" s="791"/>
      <c r="H86" s="791"/>
      <c r="I86" s="791"/>
      <c r="J86" s="791"/>
      <c r="K86" s="791"/>
      <c r="L86" s="791"/>
      <c r="M86" s="791"/>
      <c r="N86" s="791"/>
      <c r="O86" s="791"/>
      <c r="P86" s="791"/>
      <c r="Q86" s="791"/>
      <c r="R86" s="791"/>
      <c r="S86" s="791"/>
      <c r="T86" s="791"/>
      <c r="U86" s="791"/>
      <c r="V86" s="791"/>
    </row>
    <row r="87" spans="1:22" ht="12.75" customHeight="1">
      <c r="A87" s="791"/>
      <c r="B87" s="791"/>
      <c r="C87" s="791"/>
      <c r="D87" s="791"/>
      <c r="E87" s="791"/>
      <c r="F87" s="791"/>
      <c r="G87" s="791"/>
      <c r="H87" s="791"/>
      <c r="I87" s="791"/>
      <c r="J87" s="791"/>
      <c r="K87" s="791"/>
      <c r="L87" s="791"/>
      <c r="M87" s="791"/>
      <c r="N87" s="791"/>
      <c r="O87" s="791"/>
      <c r="P87" s="791"/>
      <c r="Q87" s="791"/>
      <c r="R87" s="791"/>
      <c r="S87" s="791"/>
      <c r="T87" s="791"/>
      <c r="U87" s="791"/>
      <c r="V87" s="791"/>
    </row>
    <row r="88" spans="1:22" ht="12.75" customHeight="1">
      <c r="A88" s="791"/>
      <c r="B88" s="791"/>
      <c r="C88" s="791"/>
      <c r="D88" s="791"/>
      <c r="E88" s="791"/>
      <c r="F88" s="791"/>
      <c r="G88" s="791"/>
      <c r="H88" s="791"/>
      <c r="I88" s="791"/>
      <c r="J88" s="791"/>
      <c r="K88" s="791"/>
      <c r="L88" s="791"/>
      <c r="M88" s="791"/>
      <c r="N88" s="791"/>
      <c r="O88" s="791"/>
      <c r="P88" s="791"/>
      <c r="Q88" s="791"/>
      <c r="R88" s="791"/>
      <c r="S88" s="791"/>
      <c r="T88" s="791"/>
      <c r="U88" s="791"/>
      <c r="V88" s="791"/>
    </row>
    <row r="89" spans="1:22" ht="12.75">
      <c r="A89" s="791"/>
      <c r="B89" s="791"/>
      <c r="C89" s="791"/>
      <c r="D89" s="791"/>
      <c r="E89" s="791"/>
      <c r="F89" s="791"/>
      <c r="G89" s="791"/>
      <c r="H89" s="791"/>
      <c r="I89" s="791"/>
      <c r="J89" s="791"/>
      <c r="K89" s="791"/>
      <c r="L89" s="791"/>
      <c r="M89" s="791"/>
      <c r="N89" s="791"/>
      <c r="O89" s="791"/>
      <c r="P89" s="791"/>
      <c r="Q89" s="791"/>
      <c r="R89" s="791"/>
      <c r="S89" s="791"/>
      <c r="T89" s="791"/>
      <c r="U89" s="791"/>
      <c r="V89" s="791"/>
    </row>
    <row r="90" spans="1:22" ht="12.75">
      <c r="A90" s="791"/>
      <c r="B90" s="791"/>
      <c r="C90" s="791"/>
      <c r="D90" s="791"/>
      <c r="E90" s="791"/>
      <c r="F90" s="791"/>
      <c r="G90" s="791"/>
      <c r="H90" s="791"/>
      <c r="I90" s="791"/>
      <c r="J90" s="791"/>
      <c r="K90" s="791"/>
      <c r="L90" s="791"/>
      <c r="M90" s="791"/>
      <c r="N90" s="791"/>
      <c r="O90" s="791"/>
      <c r="P90" s="791"/>
      <c r="Q90" s="791"/>
      <c r="R90" s="791"/>
      <c r="S90" s="791"/>
      <c r="T90" s="791"/>
      <c r="U90" s="791"/>
      <c r="V90" s="791"/>
    </row>
    <row r="91" spans="1:22" ht="12.75">
      <c r="A91" s="791"/>
      <c r="B91" s="791"/>
      <c r="C91" s="791"/>
      <c r="D91" s="791"/>
      <c r="E91" s="791"/>
      <c r="F91" s="791"/>
      <c r="G91" s="791"/>
      <c r="H91" s="791"/>
      <c r="I91" s="791"/>
      <c r="J91" s="791"/>
      <c r="K91" s="791"/>
      <c r="L91" s="791"/>
      <c r="M91" s="791"/>
      <c r="N91" s="791"/>
      <c r="O91" s="791"/>
      <c r="P91" s="791"/>
      <c r="Q91" s="791"/>
      <c r="R91" s="791"/>
      <c r="S91" s="791"/>
      <c r="T91" s="791"/>
      <c r="U91" s="791"/>
      <c r="V91" s="791"/>
    </row>
    <row r="92" spans="1:22" ht="12.75">
      <c r="A92" s="791"/>
      <c r="B92" s="791"/>
      <c r="C92" s="791"/>
      <c r="D92" s="791"/>
      <c r="E92" s="791"/>
      <c r="F92" s="791"/>
      <c r="G92" s="791"/>
      <c r="H92" s="791"/>
      <c r="I92" s="791"/>
      <c r="J92" s="791"/>
      <c r="K92" s="791"/>
      <c r="L92" s="791"/>
      <c r="M92" s="791"/>
      <c r="N92" s="791"/>
      <c r="O92" s="791"/>
      <c r="P92" s="791"/>
      <c r="Q92" s="791"/>
      <c r="R92" s="791"/>
      <c r="S92" s="791"/>
      <c r="T92" s="791"/>
      <c r="U92" s="791"/>
      <c r="V92" s="791"/>
    </row>
    <row r="93" spans="1:22" ht="12.75">
      <c r="A93" s="791"/>
      <c r="B93" s="791"/>
      <c r="C93" s="791"/>
      <c r="D93" s="791"/>
      <c r="E93" s="791"/>
      <c r="F93" s="791"/>
      <c r="G93" s="791"/>
      <c r="H93" s="791"/>
      <c r="I93" s="791"/>
      <c r="J93" s="791"/>
      <c r="K93" s="791"/>
      <c r="L93" s="791"/>
      <c r="M93" s="791"/>
      <c r="N93" s="791"/>
      <c r="O93" s="791"/>
      <c r="P93" s="791"/>
      <c r="Q93" s="791"/>
      <c r="R93" s="791"/>
      <c r="S93" s="791"/>
      <c r="T93" s="791"/>
      <c r="U93" s="791"/>
      <c r="V93" s="791"/>
    </row>
    <row r="94" spans="1:22" ht="12.75">
      <c r="A94" s="791"/>
      <c r="B94" s="791"/>
      <c r="C94" s="791"/>
      <c r="D94" s="791"/>
      <c r="E94" s="791"/>
      <c r="F94" s="791"/>
      <c r="G94" s="791"/>
      <c r="H94" s="791"/>
      <c r="I94" s="791"/>
      <c r="J94" s="791"/>
      <c r="K94" s="791"/>
      <c r="L94" s="791"/>
      <c r="M94" s="791"/>
      <c r="N94" s="791"/>
      <c r="O94" s="791"/>
      <c r="P94" s="791"/>
      <c r="Q94" s="791"/>
      <c r="R94" s="791"/>
      <c r="S94" s="791"/>
      <c r="T94" s="791"/>
      <c r="U94" s="791"/>
      <c r="V94" s="791"/>
    </row>
    <row r="95" spans="1:22" ht="12.75">
      <c r="A95" s="791"/>
      <c r="B95" s="791"/>
      <c r="C95" s="791"/>
      <c r="D95" s="791"/>
      <c r="E95" s="791"/>
      <c r="F95" s="791"/>
      <c r="G95" s="791"/>
      <c r="H95" s="791"/>
      <c r="I95" s="791"/>
      <c r="J95" s="791"/>
      <c r="K95" s="791"/>
      <c r="L95" s="791"/>
      <c r="M95" s="791"/>
      <c r="N95" s="791"/>
      <c r="O95" s="791"/>
      <c r="P95" s="791"/>
      <c r="Q95" s="791"/>
      <c r="R95" s="791"/>
      <c r="S95" s="791"/>
      <c r="T95" s="791"/>
      <c r="U95" s="791"/>
      <c r="V95" s="791"/>
    </row>
    <row r="96" spans="1:22" ht="12.75">
      <c r="A96" s="791"/>
      <c r="B96" s="791"/>
      <c r="C96" s="791"/>
      <c r="D96" s="791"/>
      <c r="E96" s="791"/>
      <c r="F96" s="791"/>
      <c r="G96" s="791"/>
      <c r="H96" s="791"/>
      <c r="I96" s="791"/>
      <c r="J96" s="791"/>
      <c r="K96" s="791"/>
      <c r="L96" s="791"/>
      <c r="M96" s="791"/>
      <c r="N96" s="791"/>
      <c r="O96" s="791"/>
      <c r="P96" s="791"/>
      <c r="Q96" s="791"/>
      <c r="R96" s="791"/>
      <c r="S96" s="791"/>
      <c r="T96" s="791"/>
      <c r="U96" s="791"/>
      <c r="V96" s="791"/>
    </row>
    <row r="97" spans="1:22" ht="12.75">
      <c r="A97" s="791"/>
      <c r="B97" s="791"/>
      <c r="C97" s="791"/>
      <c r="D97" s="791"/>
      <c r="E97" s="791"/>
      <c r="F97" s="791"/>
      <c r="G97" s="791"/>
      <c r="H97" s="791"/>
      <c r="I97" s="791"/>
      <c r="J97" s="791"/>
      <c r="K97" s="791"/>
      <c r="L97" s="791"/>
      <c r="M97" s="791"/>
      <c r="N97" s="791"/>
      <c r="O97" s="791"/>
      <c r="P97" s="791"/>
      <c r="Q97" s="791"/>
      <c r="R97" s="791"/>
      <c r="S97" s="791"/>
      <c r="T97" s="791"/>
      <c r="U97" s="791"/>
      <c r="V97" s="791"/>
    </row>
    <row r="98" spans="1:22" ht="12.75">
      <c r="A98" s="791"/>
      <c r="B98" s="791"/>
      <c r="C98" s="791"/>
      <c r="D98" s="791"/>
      <c r="E98" s="791"/>
      <c r="F98" s="791"/>
      <c r="G98" s="791"/>
      <c r="H98" s="791"/>
      <c r="I98" s="791"/>
      <c r="J98" s="791"/>
      <c r="K98" s="791"/>
      <c r="L98" s="791"/>
      <c r="M98" s="791"/>
      <c r="N98" s="791"/>
      <c r="O98" s="791"/>
      <c r="P98" s="791"/>
      <c r="Q98" s="791"/>
      <c r="R98" s="791"/>
      <c r="S98" s="791"/>
      <c r="T98" s="791"/>
      <c r="U98" s="791"/>
      <c r="V98" s="791"/>
    </row>
    <row r="99" spans="1:22" ht="12.75">
      <c r="A99" s="791"/>
      <c r="B99" s="791"/>
      <c r="C99" s="791"/>
      <c r="D99" s="791"/>
      <c r="E99" s="791"/>
      <c r="F99" s="791"/>
      <c r="G99" s="791"/>
      <c r="H99" s="791"/>
      <c r="I99" s="791"/>
      <c r="J99" s="791"/>
      <c r="K99" s="791"/>
      <c r="L99" s="791"/>
      <c r="M99" s="791"/>
      <c r="N99" s="791"/>
      <c r="O99" s="791"/>
      <c r="P99" s="791"/>
      <c r="Q99" s="791"/>
      <c r="R99" s="791"/>
      <c r="S99" s="791"/>
      <c r="T99" s="791"/>
      <c r="U99" s="791"/>
      <c r="V99" s="791"/>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election activeCell="A13" sqref="A1:XFD1048576"/>
    </sheetView>
  </sheetViews>
  <sheetFormatPr defaultColWidth="9.140625" defaultRowHeight="12.75"/>
  <cols>
    <col min="1" max="1" width="3.5703125" style="844" customWidth="1"/>
    <col min="2" max="2" width="7.28515625" style="844" customWidth="1"/>
    <col min="3" max="3" width="2.42578125" style="844" customWidth="1"/>
    <col min="4" max="4" width="29.42578125" style="844" customWidth="1"/>
    <col min="5" max="5" width="26.42578125" style="844" customWidth="1"/>
    <col min="6" max="6" width="24.140625" style="844" bestFit="1" customWidth="1"/>
    <col min="7" max="7" width="22.85546875" style="844" customWidth="1"/>
    <col min="8" max="8" width="7.42578125" style="844" customWidth="1"/>
    <col min="9" max="16384" width="9.140625" style="844"/>
  </cols>
  <sheetData>
    <row r="1" spans="1:11" ht="15">
      <c r="A1" s="1050"/>
    </row>
    <row r="2" spans="1:11" ht="19.5" customHeight="1">
      <c r="A2" s="2447" t="str">
        <f>+'SWEPCO TCOS'!F4</f>
        <v xml:space="preserve">AEP West SPP Member Operating Companies </v>
      </c>
      <c r="B2" s="2447"/>
      <c r="C2" s="2447"/>
      <c r="D2" s="2447"/>
      <c r="E2" s="2447"/>
      <c r="F2" s="2447"/>
      <c r="G2" s="2447"/>
      <c r="H2" s="2447"/>
      <c r="I2" s="785"/>
      <c r="J2" s="785"/>
      <c r="K2" s="785"/>
    </row>
    <row r="3" spans="1:11" ht="15">
      <c r="A3" s="2554" t="str">
        <f>+'SWEPCO WS A-1 - Plant'!A3</f>
        <v xml:space="preserve">Actual / Projected 2018 Rate Year Cost of Service Formula Rate </v>
      </c>
      <c r="B3" s="2554"/>
      <c r="C3" s="2554"/>
      <c r="D3" s="2554"/>
      <c r="E3" s="2554"/>
      <c r="F3" s="2554"/>
      <c r="G3" s="2554"/>
      <c r="H3" s="2554"/>
      <c r="I3" s="1706"/>
      <c r="J3" s="1706"/>
      <c r="K3" s="1706"/>
    </row>
    <row r="4" spans="1:11" ht="15.75">
      <c r="A4" s="2555" t="s">
        <v>113</v>
      </c>
      <c r="B4" s="2554"/>
      <c r="C4" s="2554"/>
      <c r="D4" s="2554"/>
      <c r="E4" s="2554"/>
      <c r="F4" s="2554"/>
      <c r="G4" s="2554"/>
      <c r="H4" s="2554"/>
      <c r="I4" s="1706"/>
      <c r="J4" s="1706"/>
      <c r="K4" s="1706"/>
    </row>
    <row r="5" spans="1:11" ht="15.75">
      <c r="A5" s="2479" t="str">
        <f>+'SWEPCO TCOS'!F8</f>
        <v>SOUTHWESTERN ELECTRIC POWER COMPANY</v>
      </c>
      <c r="B5" s="2479"/>
      <c r="C5" s="2479"/>
      <c r="D5" s="2479"/>
      <c r="E5" s="2479"/>
      <c r="F5" s="2479"/>
      <c r="G5" s="2479"/>
      <c r="H5" s="2479"/>
      <c r="I5" s="1632"/>
      <c r="J5" s="1632"/>
      <c r="K5" s="1632"/>
    </row>
    <row r="6" spans="1:11" ht="15">
      <c r="D6" s="791"/>
      <c r="G6" s="1633"/>
      <c r="H6" s="785"/>
      <c r="I6" s="785"/>
    </row>
    <row r="7" spans="1:11" ht="54" customHeight="1">
      <c r="A7" s="1634"/>
      <c r="B7" s="2572" t="s">
        <v>902</v>
      </c>
      <c r="C7" s="2572"/>
      <c r="D7" s="2572"/>
      <c r="E7" s="2572"/>
      <c r="F7" s="2572"/>
      <c r="G7" s="2572"/>
      <c r="H7" s="1634"/>
      <c r="I7" s="785"/>
    </row>
    <row r="8" spans="1:11" ht="18">
      <c r="A8" s="1479"/>
      <c r="B8" s="1479"/>
      <c r="C8" s="1479"/>
      <c r="D8" s="1479"/>
      <c r="E8" s="1479"/>
      <c r="F8" s="1479"/>
      <c r="G8" s="1479"/>
      <c r="H8" s="1479"/>
      <c r="I8" s="785"/>
    </row>
    <row r="9" spans="1:11" ht="18">
      <c r="A9" s="1479"/>
      <c r="B9" s="1479"/>
      <c r="C9" s="1479"/>
      <c r="D9" s="1479"/>
      <c r="E9" s="1479"/>
      <c r="F9" s="1479"/>
      <c r="G9" s="1479"/>
      <c r="H9" s="1479"/>
      <c r="I9" s="785"/>
    </row>
    <row r="10" spans="1:11" ht="18">
      <c r="A10" s="1479"/>
      <c r="B10" s="1267" t="s">
        <v>310</v>
      </c>
      <c r="D10" s="2497" t="s">
        <v>303</v>
      </c>
      <c r="E10" s="2497"/>
      <c r="G10" s="1058" t="s">
        <v>304</v>
      </c>
      <c r="H10" s="1479"/>
      <c r="I10" s="785"/>
    </row>
    <row r="11" spans="1:11" ht="18">
      <c r="A11" s="1479"/>
      <c r="B11" s="1267" t="s">
        <v>248</v>
      </c>
      <c r="D11" s="2496" t="s">
        <v>308</v>
      </c>
      <c r="E11" s="2496"/>
      <c r="G11" s="1267">
        <f>+'SWEPCO TCOS'!N2</f>
        <v>2018</v>
      </c>
      <c r="H11" s="1479"/>
      <c r="I11" s="785"/>
    </row>
    <row r="12" spans="1:11" ht="15">
      <c r="B12" s="2141">
        <v>1</v>
      </c>
      <c r="C12" s="1636"/>
      <c r="H12" s="785"/>
      <c r="I12" s="785"/>
    </row>
    <row r="13" spans="1:11" ht="15">
      <c r="B13" s="2141">
        <f t="shared" ref="B13:B20" si="0">B12+1</f>
        <v>2</v>
      </c>
      <c r="D13" s="2142"/>
      <c r="E13" s="1637"/>
      <c r="G13" s="1543"/>
      <c r="H13" s="785"/>
      <c r="I13" s="785"/>
    </row>
    <row r="14" spans="1:11" ht="15">
      <c r="B14" s="2141">
        <f t="shared" si="0"/>
        <v>3</v>
      </c>
      <c r="D14" s="2142"/>
      <c r="E14" s="1637"/>
      <c r="G14" s="1543"/>
      <c r="H14" s="785"/>
      <c r="I14" s="785"/>
    </row>
    <row r="15" spans="1:11" ht="15">
      <c r="B15" s="2141">
        <f t="shared" si="0"/>
        <v>4</v>
      </c>
      <c r="D15" s="2142"/>
      <c r="E15" s="1637"/>
      <c r="G15" s="1543"/>
      <c r="H15" s="785"/>
      <c r="I15" s="785"/>
    </row>
    <row r="16" spans="1:11" ht="15">
      <c r="B16" s="2141">
        <f t="shared" si="0"/>
        <v>5</v>
      </c>
      <c r="D16" s="2142"/>
      <c r="E16" s="1637"/>
      <c r="G16" s="1543"/>
      <c r="H16" s="785"/>
      <c r="I16" s="785"/>
    </row>
    <row r="17" spans="2:9" ht="15">
      <c r="B17" s="2141">
        <f t="shared" si="0"/>
        <v>6</v>
      </c>
      <c r="D17" s="2142"/>
      <c r="E17" s="1637"/>
      <c r="G17" s="1543"/>
      <c r="H17" s="785"/>
      <c r="I17" s="785"/>
    </row>
    <row r="18" spans="2:9" ht="15">
      <c r="B18" s="2141">
        <f t="shared" si="0"/>
        <v>7</v>
      </c>
      <c r="D18" s="2142"/>
      <c r="E18" s="1637"/>
      <c r="G18" s="1543"/>
      <c r="H18" s="785"/>
      <c r="I18" s="785"/>
    </row>
    <row r="19" spans="2:9" ht="15">
      <c r="B19" s="2141">
        <f t="shared" si="0"/>
        <v>8</v>
      </c>
      <c r="D19" s="2142"/>
      <c r="E19" s="1637"/>
      <c r="G19" s="1543"/>
      <c r="H19" s="785"/>
      <c r="I19" s="785"/>
    </row>
    <row r="20" spans="2:9" ht="15">
      <c r="B20" s="2141">
        <f t="shared" si="0"/>
        <v>9</v>
      </c>
      <c r="D20" s="2142"/>
      <c r="E20" s="1637"/>
      <c r="G20" s="1543"/>
      <c r="H20" s="785"/>
      <c r="I20" s="785"/>
    </row>
    <row r="21" spans="2:9" ht="15">
      <c r="B21" s="2141">
        <f>+B20+1</f>
        <v>10</v>
      </c>
      <c r="D21" s="2143" t="s">
        <v>260</v>
      </c>
      <c r="F21" s="844" t="str">
        <f>"( sum of lines "&amp;B13&amp;"  through "&amp;B20&amp;" )"</f>
        <v>( sum of lines 2  through 9 )</v>
      </c>
      <c r="G21" s="2144">
        <f>SUM(G13:G20)</f>
        <v>0</v>
      </c>
      <c r="H21" s="785"/>
      <c r="I21" s="785"/>
    </row>
    <row r="22" spans="2:9" ht="15">
      <c r="B22" s="2141"/>
      <c r="G22" s="2145"/>
      <c r="H22" s="785"/>
      <c r="I22" s="785"/>
    </row>
    <row r="23" spans="2:9" s="916" customFormat="1" ht="15" customHeight="1"/>
    <row r="24" spans="2:9" s="916" customFormat="1"/>
    <row r="25" spans="2:9" s="916" customFormat="1"/>
    <row r="26" spans="2:9" s="916" customFormat="1" ht="23.25" customHeight="1"/>
    <row r="27" spans="2:9" s="916" customFormat="1"/>
    <row r="28" spans="2:9" s="916" customFormat="1"/>
    <row r="29" spans="2:9" s="916" customFormat="1"/>
    <row r="30" spans="2:9" s="916"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2"/>
  <sheetViews>
    <sheetView zoomScale="60" zoomScaleNormal="60" zoomScaleSheetLayoutView="75" workbookViewId="0">
      <selection sqref="A1:XFD1048576"/>
    </sheetView>
  </sheetViews>
  <sheetFormatPr defaultColWidth="9.140625" defaultRowHeight="15"/>
  <cols>
    <col min="1" max="1" width="10.42578125" style="2149" customWidth="1"/>
    <col min="2" max="2" width="12.7109375" style="2146" customWidth="1"/>
    <col min="3" max="3" width="59.28515625" style="2147" customWidth="1"/>
    <col min="4" max="4" width="17.85546875" style="2147" customWidth="1"/>
    <col min="5" max="5" width="24.42578125" style="2147" customWidth="1"/>
    <col min="6" max="6" width="17.28515625" style="2147" customWidth="1"/>
    <col min="7" max="7" width="42" style="2147" customWidth="1"/>
    <col min="8" max="8" width="13.85546875" style="2147" customWidth="1"/>
    <col min="9" max="10" width="12.7109375" style="2147" customWidth="1"/>
    <col min="11" max="11" width="13.28515625" style="2147" customWidth="1"/>
    <col min="12" max="19" width="9.140625" style="2147"/>
    <col min="20" max="20" width="9.28515625" style="700" bestFit="1" customWidth="1"/>
    <col min="21" max="21" width="8.85546875" style="700" customWidth="1"/>
    <col min="22" max="22" width="9.28515625" style="700" bestFit="1" customWidth="1"/>
    <col min="23" max="23" width="8.85546875" style="700" customWidth="1"/>
    <col min="24" max="24" width="10.85546875" style="700" bestFit="1" customWidth="1"/>
    <col min="25" max="25" width="8.85546875" style="700" customWidth="1"/>
    <col min="26" max="26" width="10.85546875" style="700" bestFit="1" customWidth="1"/>
    <col min="27" max="27" width="8.85546875" style="700" customWidth="1"/>
    <col min="28" max="28" width="10.7109375" style="700" bestFit="1" customWidth="1"/>
    <col min="29" max="29" width="8.85546875" style="700" customWidth="1"/>
    <col min="30" max="30" width="9.28515625" style="700" bestFit="1" customWidth="1"/>
    <col min="31" max="31" width="8.85546875" style="700" customWidth="1"/>
    <col min="32" max="32" width="11.5703125" style="700" bestFit="1" customWidth="1"/>
    <col min="33" max="33" width="8.85546875" style="700" customWidth="1"/>
    <col min="34" max="34" width="11.5703125" style="700" bestFit="1" customWidth="1"/>
    <col min="35" max="35" width="8.85546875" style="700" customWidth="1"/>
    <col min="36" max="36" width="11" style="700" bestFit="1" customWidth="1"/>
    <col min="37" max="37" width="8.85546875" style="700" customWidth="1"/>
    <col min="38" max="38" width="9.28515625" style="700" bestFit="1" customWidth="1"/>
    <col min="39" max="39" width="8.85546875" style="700" customWidth="1"/>
    <col min="40" max="40" width="11.5703125" style="700" bestFit="1" customWidth="1"/>
    <col min="41" max="43" width="8.85546875" style="700" customWidth="1"/>
    <col min="44" max="16384" width="9.140625" style="2147"/>
  </cols>
  <sheetData>
    <row r="1" spans="1:11">
      <c r="A1" s="1759"/>
    </row>
    <row r="2" spans="1:11" ht="23.25" customHeight="1">
      <c r="A2" s="2574" t="str">
        <f>+'SWEPCO WS H Rev Credits'!A3:N3</f>
        <v xml:space="preserve">AEP West SPP Member Operating Companies </v>
      </c>
      <c r="B2" s="2574"/>
      <c r="C2" s="2574"/>
      <c r="D2" s="2574"/>
      <c r="E2" s="2574"/>
      <c r="F2" s="2574"/>
      <c r="G2" s="2574"/>
      <c r="H2" s="1195"/>
    </row>
    <row r="3" spans="1:11" ht="18.75" customHeight="1">
      <c r="A3" s="2574" t="str">
        <f>+'SWEPCO WS A-1 - Plant'!A3</f>
        <v xml:space="preserve">Actual / Projected 2018 Rate Year Cost of Service Formula Rate </v>
      </c>
      <c r="B3" s="2574"/>
      <c r="C3" s="2574"/>
      <c r="D3" s="2574"/>
      <c r="E3" s="2574"/>
      <c r="F3" s="2574"/>
      <c r="G3" s="2574"/>
      <c r="H3" s="1848"/>
      <c r="I3" s="1848"/>
      <c r="J3" s="1848"/>
      <c r="K3" s="1848"/>
    </row>
    <row r="4" spans="1:11" ht="19.5" customHeight="1">
      <c r="A4" s="2575" t="s">
        <v>114</v>
      </c>
      <c r="B4" s="2574"/>
      <c r="C4" s="2574"/>
      <c r="D4" s="2574"/>
      <c r="E4" s="2574"/>
      <c r="F4" s="2574"/>
      <c r="G4" s="2574"/>
    </row>
    <row r="5" spans="1:11" ht="18" customHeight="1">
      <c r="A5" s="2479" t="str">
        <f>+'SWEPCO TCOS'!F8</f>
        <v>SOUTHWESTERN ELECTRIC POWER COMPANY</v>
      </c>
      <c r="B5" s="2479"/>
      <c r="C5" s="2479"/>
      <c r="D5" s="2479"/>
      <c r="E5" s="2479"/>
      <c r="F5" s="2479"/>
      <c r="G5" s="2479"/>
    </row>
    <row r="6" spans="1:11" ht="12.75" customHeight="1">
      <c r="A6" s="2447"/>
      <c r="B6" s="2447"/>
      <c r="C6" s="2447"/>
      <c r="D6" s="2447"/>
      <c r="E6" s="2447"/>
      <c r="F6" s="2447"/>
      <c r="G6" s="2148"/>
    </row>
    <row r="7" spans="1:11" ht="18">
      <c r="A7" s="2486"/>
      <c r="B7" s="2486"/>
      <c r="C7" s="2486"/>
      <c r="D7" s="2486"/>
      <c r="E7" s="2486"/>
      <c r="F7" s="2486"/>
      <c r="G7" s="2486"/>
    </row>
    <row r="8" spans="1:11" ht="18">
      <c r="A8" s="1479"/>
      <c r="B8" s="1479"/>
      <c r="C8" s="1479"/>
      <c r="D8" s="1479"/>
      <c r="E8" s="1479"/>
      <c r="F8" s="1479"/>
      <c r="G8" s="1479"/>
    </row>
    <row r="9" spans="1:11" ht="15.75">
      <c r="B9" s="1785" t="s">
        <v>303</v>
      </c>
      <c r="C9" s="1785" t="s">
        <v>304</v>
      </c>
      <c r="D9" s="1785" t="s">
        <v>305</v>
      </c>
      <c r="E9" s="1785" t="s">
        <v>306</v>
      </c>
      <c r="F9" s="1785" t="s">
        <v>231</v>
      </c>
      <c r="G9" s="1785" t="s">
        <v>232</v>
      </c>
    </row>
    <row r="10" spans="1:11" ht="15.75">
      <c r="B10" s="2150"/>
      <c r="C10" s="2148"/>
      <c r="D10" s="2151"/>
      <c r="E10" s="2152"/>
      <c r="F10" s="2153" t="s">
        <v>234</v>
      </c>
      <c r="G10" s="1785"/>
    </row>
    <row r="11" spans="1:11" ht="15.75">
      <c r="A11" s="1767" t="s">
        <v>310</v>
      </c>
      <c r="B11" s="1767" t="s">
        <v>152</v>
      </c>
      <c r="C11" s="2154"/>
      <c r="D11" s="1767">
        <f>+'SWEPCO TCOS'!N2</f>
        <v>2018</v>
      </c>
      <c r="E11" s="2153" t="s">
        <v>234</v>
      </c>
      <c r="F11" s="1767" t="s">
        <v>257</v>
      </c>
      <c r="G11" s="1785" t="s">
        <v>425</v>
      </c>
    </row>
    <row r="12" spans="1:11" ht="15.75">
      <c r="A12" s="1767" t="s">
        <v>248</v>
      </c>
      <c r="B12" s="1767" t="s">
        <v>153</v>
      </c>
      <c r="C12" s="1767" t="s">
        <v>308</v>
      </c>
      <c r="D12" s="1767" t="s">
        <v>217</v>
      </c>
      <c r="E12" s="1767" t="s">
        <v>236</v>
      </c>
      <c r="F12" s="1767" t="s">
        <v>218</v>
      </c>
      <c r="G12" s="2155" t="s">
        <v>426</v>
      </c>
    </row>
    <row r="13" spans="1:11" ht="15.75">
      <c r="B13" s="1767"/>
      <c r="C13" s="1767"/>
      <c r="D13" s="1767"/>
      <c r="E13" s="1767"/>
      <c r="F13" s="1767"/>
      <c r="G13" s="1767"/>
    </row>
    <row r="14" spans="1:11" ht="15.75">
      <c r="B14" s="2149"/>
      <c r="C14" s="2156" t="s">
        <v>353</v>
      </c>
      <c r="D14" s="2148"/>
      <c r="E14" s="2148"/>
      <c r="F14" s="2148"/>
      <c r="G14" s="2148"/>
    </row>
    <row r="15" spans="1:11" ht="90">
      <c r="A15" s="2149">
        <v>1</v>
      </c>
      <c r="B15" s="2157" t="s">
        <v>1809</v>
      </c>
      <c r="C15" s="2158" t="s">
        <v>1827</v>
      </c>
      <c r="D15" s="2159">
        <v>3976</v>
      </c>
      <c r="E15" s="2160">
        <f>+D15</f>
        <v>3976</v>
      </c>
      <c r="F15" s="2159">
        <v>0</v>
      </c>
      <c r="G15" s="2161" t="s">
        <v>1828</v>
      </c>
      <c r="I15" s="2162"/>
      <c r="J15" s="2162"/>
    </row>
    <row r="16" spans="1:11" ht="15.75">
      <c r="A16" s="2163">
        <f t="shared" ref="A16:A19" si="0">+A15+1</f>
        <v>2</v>
      </c>
      <c r="B16" s="2164" t="s">
        <v>1812</v>
      </c>
      <c r="C16" s="2164" t="s">
        <v>1810</v>
      </c>
      <c r="D16" s="2165">
        <v>37818</v>
      </c>
      <c r="E16" s="2165">
        <v>37818</v>
      </c>
      <c r="F16" s="2165"/>
      <c r="G16" s="2161" t="s">
        <v>1829</v>
      </c>
      <c r="I16" s="2162"/>
      <c r="J16" s="2162"/>
    </row>
    <row r="17" spans="1:8">
      <c r="A17" s="2163">
        <f t="shared" si="0"/>
        <v>3</v>
      </c>
      <c r="B17" s="2164" t="s">
        <v>1817</v>
      </c>
      <c r="C17" s="2164" t="s">
        <v>1830</v>
      </c>
      <c r="D17" s="2165">
        <v>7072</v>
      </c>
      <c r="E17" s="2165">
        <f>+D17</f>
        <v>7072</v>
      </c>
      <c r="F17" s="2165">
        <v>0</v>
      </c>
      <c r="G17" s="2161" t="s">
        <v>1831</v>
      </c>
    </row>
    <row r="18" spans="1:8" ht="30">
      <c r="A18" s="2163">
        <f t="shared" si="0"/>
        <v>4</v>
      </c>
      <c r="B18" s="2164" t="s">
        <v>1817</v>
      </c>
      <c r="C18" s="2164" t="s">
        <v>1818</v>
      </c>
      <c r="D18" s="2165">
        <v>21698</v>
      </c>
      <c r="E18" s="2165">
        <v>21698</v>
      </c>
      <c r="F18" s="2165">
        <v>0</v>
      </c>
      <c r="G18" s="2161" t="s">
        <v>1832</v>
      </c>
    </row>
    <row r="19" spans="1:8">
      <c r="A19" s="2163">
        <f t="shared" si="0"/>
        <v>5</v>
      </c>
      <c r="B19" s="2164" t="s">
        <v>1817</v>
      </c>
      <c r="C19" s="2164" t="s">
        <v>1818</v>
      </c>
      <c r="D19" s="2165">
        <v>1780719</v>
      </c>
      <c r="E19" s="2165">
        <f>+D19</f>
        <v>1780719</v>
      </c>
      <c r="F19" s="2165">
        <v>0</v>
      </c>
      <c r="G19" s="2161" t="s">
        <v>1583</v>
      </c>
    </row>
    <row r="20" spans="1:8" ht="150">
      <c r="A20" s="2163">
        <f t="shared" ref="A20:A23" si="1">+A19+1</f>
        <v>6</v>
      </c>
      <c r="B20" s="2164" t="s">
        <v>1817</v>
      </c>
      <c r="C20" s="2164" t="s">
        <v>1818</v>
      </c>
      <c r="D20" s="2165">
        <v>1934186</v>
      </c>
      <c r="E20" s="2165">
        <v>1934186</v>
      </c>
      <c r="F20" s="2165">
        <v>0</v>
      </c>
      <c r="G20" s="2161" t="s">
        <v>1833</v>
      </c>
    </row>
    <row r="21" spans="1:8" ht="90">
      <c r="A21" s="2163">
        <f t="shared" si="1"/>
        <v>7</v>
      </c>
      <c r="B21" s="2164" t="s">
        <v>1817</v>
      </c>
      <c r="C21" s="2164" t="s">
        <v>1818</v>
      </c>
      <c r="D21" s="2165">
        <v>137</v>
      </c>
      <c r="E21" s="2165">
        <v>0</v>
      </c>
      <c r="F21" s="2165">
        <v>137</v>
      </c>
      <c r="G21" s="2161" t="s">
        <v>1834</v>
      </c>
    </row>
    <row r="22" spans="1:8">
      <c r="A22" s="2163">
        <f t="shared" si="1"/>
        <v>8</v>
      </c>
      <c r="B22" s="2164" t="s">
        <v>1822</v>
      </c>
      <c r="C22" s="2164" t="s">
        <v>1823</v>
      </c>
      <c r="D22" s="2165">
        <v>0</v>
      </c>
      <c r="E22" s="2165">
        <v>0</v>
      </c>
      <c r="F22" s="2165">
        <v>0</v>
      </c>
      <c r="G22" s="2161" t="s">
        <v>1823</v>
      </c>
    </row>
    <row r="23" spans="1:8" ht="75">
      <c r="A23" s="2149">
        <f t="shared" si="1"/>
        <v>9</v>
      </c>
      <c r="B23" s="2166" t="s">
        <v>1576</v>
      </c>
      <c r="C23" s="2166" t="s">
        <v>1577</v>
      </c>
      <c r="D23" s="2159">
        <v>257468</v>
      </c>
      <c r="E23" s="2159">
        <f>+D23</f>
        <v>257468</v>
      </c>
      <c r="F23" s="2159">
        <v>0</v>
      </c>
      <c r="G23" s="2161" t="s">
        <v>1578</v>
      </c>
    </row>
    <row r="24" spans="1:8">
      <c r="A24" s="2163"/>
      <c r="B24" s="2157" t="s">
        <v>256</v>
      </c>
      <c r="C24" s="2167"/>
      <c r="D24" s="2168"/>
      <c r="E24" s="2168"/>
      <c r="F24" s="2169"/>
      <c r="G24" s="2170"/>
    </row>
    <row r="25" spans="1:8">
      <c r="A25" s="2163"/>
      <c r="B25" s="2157"/>
      <c r="C25" s="2167"/>
      <c r="D25" s="2168"/>
      <c r="E25" s="2168"/>
      <c r="F25" s="2169"/>
      <c r="G25" s="2170"/>
    </row>
    <row r="26" spans="1:8">
      <c r="B26" s="2171"/>
      <c r="C26" s="2172"/>
      <c r="D26" s="2173"/>
      <c r="E26" s="2174"/>
      <c r="F26" s="2175"/>
      <c r="G26" s="2148"/>
    </row>
    <row r="27" spans="1:8" ht="15.75">
      <c r="A27" s="2149">
        <f>+A23+1</f>
        <v>10</v>
      </c>
      <c r="B27" s="2176"/>
      <c r="C27" s="2177" t="s">
        <v>861</v>
      </c>
      <c r="D27" s="2178">
        <f>SUM(D15:D25)</f>
        <v>4043074</v>
      </c>
      <c r="E27" s="2178">
        <f>SUM(E15:E25)</f>
        <v>4042937</v>
      </c>
      <c r="F27" s="2178">
        <f>SUM(F15:F25)</f>
        <v>137</v>
      </c>
      <c r="G27" s="2179"/>
    </row>
    <row r="28" spans="1:8" ht="15.75">
      <c r="B28" s="2176"/>
      <c r="C28" s="2180"/>
      <c r="D28" s="2181"/>
      <c r="E28" s="2148"/>
      <c r="F28" s="2148"/>
      <c r="G28" s="2148"/>
    </row>
    <row r="29" spans="1:8" ht="15.75">
      <c r="B29" s="2182"/>
      <c r="C29" s="2156" t="s">
        <v>352</v>
      </c>
      <c r="D29" s="2148"/>
      <c r="E29" s="2148"/>
      <c r="F29" s="2148"/>
      <c r="G29" s="2148"/>
      <c r="H29" s="700"/>
    </row>
    <row r="30" spans="1:8">
      <c r="A30" s="2149">
        <f>A27+1</f>
        <v>11</v>
      </c>
      <c r="B30" s="2157" t="s">
        <v>1575</v>
      </c>
      <c r="C30" s="2169" t="s">
        <v>1825</v>
      </c>
      <c r="D30" s="2183">
        <v>283725</v>
      </c>
      <c r="E30" s="2183">
        <f>+D30</f>
        <v>283725</v>
      </c>
      <c r="F30" s="2168">
        <v>0</v>
      </c>
      <c r="G30" s="2169" t="s">
        <v>1582</v>
      </c>
      <c r="H30" s="700"/>
    </row>
    <row r="31" spans="1:8">
      <c r="A31" s="2149">
        <f>A30+1</f>
        <v>12</v>
      </c>
      <c r="B31" s="2157"/>
      <c r="C31" s="2169"/>
      <c r="D31" s="2183"/>
      <c r="E31" s="2183"/>
      <c r="F31" s="2183"/>
      <c r="G31" s="2169"/>
      <c r="H31" s="700"/>
    </row>
    <row r="32" spans="1:8">
      <c r="A32" s="2149">
        <f t="shared" ref="A32:A34" si="2">A31+1</f>
        <v>13</v>
      </c>
      <c r="B32" s="2157"/>
      <c r="C32" s="2169"/>
      <c r="D32" s="2183"/>
      <c r="E32" s="2183"/>
      <c r="F32" s="2183"/>
      <c r="G32" s="2169"/>
      <c r="H32" s="700"/>
    </row>
    <row r="33" spans="1:11">
      <c r="A33" s="2149">
        <f t="shared" si="2"/>
        <v>14</v>
      </c>
      <c r="B33" s="2157"/>
      <c r="C33" s="2169"/>
      <c r="D33" s="2183"/>
      <c r="E33" s="2183"/>
      <c r="F33" s="2183"/>
      <c r="G33" s="2169"/>
      <c r="H33" s="700"/>
    </row>
    <row r="34" spans="1:11">
      <c r="A34" s="2149">
        <f t="shared" si="2"/>
        <v>15</v>
      </c>
      <c r="B34" s="2184"/>
      <c r="C34" s="2185"/>
      <c r="D34" s="2186"/>
      <c r="E34" s="2186"/>
      <c r="F34" s="2186"/>
      <c r="G34" s="2185"/>
      <c r="H34" s="700"/>
    </row>
    <row r="35" spans="1:11">
      <c r="B35" s="2171"/>
      <c r="C35" s="2148"/>
      <c r="D35" s="2187"/>
      <c r="E35" s="2188"/>
      <c r="F35" s="2187"/>
      <c r="G35" s="2148"/>
      <c r="H35" s="700"/>
    </row>
    <row r="36" spans="1:11" ht="15.75">
      <c r="A36" s="2149">
        <f>+A34+1</f>
        <v>16</v>
      </c>
      <c r="B36" s="2176"/>
      <c r="C36" s="2189" t="s">
        <v>862</v>
      </c>
      <c r="D36" s="2190">
        <f>SUM(D30:D35)</f>
        <v>283725</v>
      </c>
      <c r="E36" s="2190">
        <f>SUM(E30:E35)</f>
        <v>283725</v>
      </c>
      <c r="F36" s="2190">
        <f>SUM(F30:F35)</f>
        <v>0</v>
      </c>
      <c r="G36" s="2191"/>
    </row>
    <row r="37" spans="1:11" ht="12.75" customHeight="1">
      <c r="B37" s="798"/>
      <c r="C37" s="926"/>
      <c r="D37" s="2192"/>
      <c r="E37" s="2192"/>
      <c r="F37" s="2192"/>
      <c r="G37" s="926"/>
    </row>
    <row r="38" spans="1:11" ht="15.75">
      <c r="B38" s="2193"/>
      <c r="C38" s="2156" t="s">
        <v>351</v>
      </c>
      <c r="D38" s="2194"/>
      <c r="E38" s="2194"/>
      <c r="F38" s="2194"/>
      <c r="G38" s="1785"/>
    </row>
    <row r="39" spans="1:11">
      <c r="A39" s="2149">
        <f>+A36+1</f>
        <v>17</v>
      </c>
      <c r="B39" s="2195" t="s">
        <v>1574</v>
      </c>
      <c r="C39" s="2169" t="s">
        <v>1826</v>
      </c>
      <c r="D39" s="2168">
        <v>1227621</v>
      </c>
      <c r="E39" s="2168">
        <v>1123907.69</v>
      </c>
      <c r="F39" s="2168">
        <v>103713.31</v>
      </c>
      <c r="G39" s="2169"/>
      <c r="H39" s="700"/>
      <c r="I39" s="700"/>
    </row>
    <row r="40" spans="1:11">
      <c r="A40" s="2149">
        <f>+A39+1</f>
        <v>18</v>
      </c>
      <c r="B40" s="2195"/>
      <c r="C40" s="2169"/>
      <c r="D40" s="2168"/>
      <c r="E40" s="2168"/>
      <c r="F40" s="2168"/>
      <c r="G40" s="2169"/>
      <c r="H40" s="700"/>
      <c r="I40" s="700"/>
    </row>
    <row r="41" spans="1:11">
      <c r="A41" s="2149">
        <f t="shared" ref="A41:A43" si="3">+A40+1</f>
        <v>19</v>
      </c>
      <c r="B41" s="2195"/>
      <c r="C41" s="2169"/>
      <c r="D41" s="2168"/>
      <c r="E41" s="2168"/>
      <c r="F41" s="2168"/>
      <c r="G41" s="2169"/>
      <c r="H41" s="700"/>
      <c r="I41" s="700"/>
    </row>
    <row r="42" spans="1:11">
      <c r="A42" s="2149">
        <f t="shared" si="3"/>
        <v>20</v>
      </c>
      <c r="B42" s="2195"/>
      <c r="C42" s="2169"/>
      <c r="D42" s="2168"/>
      <c r="E42" s="2168"/>
      <c r="F42" s="2168"/>
      <c r="G42" s="2169"/>
      <c r="H42" s="700"/>
      <c r="I42" s="700"/>
      <c r="J42" s="2196"/>
      <c r="K42" s="2196"/>
    </row>
    <row r="43" spans="1:11">
      <c r="A43" s="2149">
        <f t="shared" si="3"/>
        <v>21</v>
      </c>
      <c r="B43" s="2195"/>
      <c r="C43" s="2169"/>
      <c r="D43" s="2168"/>
      <c r="E43" s="2168"/>
      <c r="F43" s="2168"/>
      <c r="G43" s="2169"/>
      <c r="H43" s="700"/>
      <c r="I43" s="700"/>
    </row>
    <row r="44" spans="1:11">
      <c r="B44" s="926"/>
      <c r="C44" s="926"/>
      <c r="D44" s="926"/>
      <c r="E44" s="926"/>
      <c r="F44" s="926"/>
      <c r="G44" s="926"/>
    </row>
    <row r="45" spans="1:11" ht="15.75">
      <c r="A45" s="2149">
        <f>+A43+1</f>
        <v>22</v>
      </c>
      <c r="B45" s="926"/>
      <c r="C45" s="2189" t="s">
        <v>863</v>
      </c>
      <c r="D45" s="2178">
        <f>SUM(D39:D44)</f>
        <v>1227621</v>
      </c>
      <c r="E45" s="2197">
        <f>SUM(E39:E44)</f>
        <v>1123907.69</v>
      </c>
      <c r="F45" s="2197">
        <f>SUM(F39:F44)</f>
        <v>103713.31</v>
      </c>
      <c r="G45" s="2191"/>
      <c r="J45" s="2198"/>
    </row>
    <row r="46" spans="1:11">
      <c r="B46" s="791"/>
      <c r="C46" s="791"/>
      <c r="D46" s="2199"/>
      <c r="E46" s="791"/>
      <c r="F46" s="791"/>
      <c r="G46" s="791"/>
    </row>
    <row r="48" spans="1:11" ht="47.25" customHeight="1">
      <c r="B48" s="2573"/>
      <c r="C48" s="2573"/>
      <c r="D48" s="2573"/>
      <c r="E48" s="2573"/>
      <c r="F48" s="2573"/>
      <c r="G48" s="2573"/>
    </row>
    <row r="49" spans="4:4">
      <c r="D49" s="2200"/>
    </row>
    <row r="52" spans="4:4">
      <c r="D52" s="2201"/>
    </row>
  </sheetData>
  <mergeCells count="7">
    <mergeCell ref="B48:G48"/>
    <mergeCell ref="A2:G2"/>
    <mergeCell ref="A3:G3"/>
    <mergeCell ref="A4:G4"/>
    <mergeCell ref="A5:G5"/>
    <mergeCell ref="A6:F6"/>
    <mergeCell ref="A7:G7"/>
  </mergeCells>
  <conditionalFormatting sqref="H36 K15:K16 H45:I45 H27:I27 H15:H25">
    <cfRule type="cellIs" dxfId="0" priority="1"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opLeftCell="A14" zoomScale="81" zoomScaleNormal="81" zoomScaleSheetLayoutView="75" workbookViewId="0">
      <selection activeCell="I42" sqref="I42"/>
    </sheetView>
  </sheetViews>
  <sheetFormatPr defaultColWidth="8.85546875" defaultRowHeight="12.75"/>
  <cols>
    <col min="1" max="1" width="9.28515625" style="791" bestFit="1" customWidth="1"/>
    <col min="2" max="2" width="32.5703125" style="791" customWidth="1"/>
    <col min="3" max="4" width="8.85546875" style="791"/>
    <col min="5" max="5" width="15" style="791" customWidth="1"/>
    <col min="6" max="6" width="11" style="791" bestFit="1" customWidth="1"/>
    <col min="7" max="7" width="10.85546875" style="791" customWidth="1"/>
    <col min="8" max="8" width="5" style="791" customWidth="1"/>
    <col min="9" max="9" width="21" style="791" bestFit="1" customWidth="1"/>
    <col min="10" max="10" width="2.140625" style="791" customWidth="1"/>
    <col min="11" max="11" width="15.5703125" style="791" bestFit="1" customWidth="1"/>
    <col min="12" max="12" width="4.85546875" style="791" customWidth="1"/>
    <col min="13" max="16384" width="8.85546875" style="791"/>
  </cols>
  <sheetData>
    <row r="1" spans="1:12" ht="15">
      <c r="A1" s="1050"/>
    </row>
    <row r="2" spans="1:12" ht="18">
      <c r="A2" s="2447" t="str">
        <f>+'SWEPCO TCOS'!F4</f>
        <v xml:space="preserve">AEP West SPP Member Operating Companies </v>
      </c>
      <c r="B2" s="2447"/>
      <c r="C2" s="2447"/>
      <c r="D2" s="2447"/>
      <c r="E2" s="2447"/>
      <c r="F2" s="2447"/>
      <c r="G2" s="2447"/>
      <c r="H2" s="2447"/>
      <c r="I2" s="2202"/>
      <c r="J2" s="2202"/>
    </row>
    <row r="3" spans="1:12" ht="18">
      <c r="A3" s="2554" t="str">
        <f>+'SWEPCO WS A-1 - Plant'!A3</f>
        <v xml:space="preserve">Actual / Projected 2018 Rate Year Cost of Service Formula Rate </v>
      </c>
      <c r="B3" s="2554"/>
      <c r="C3" s="2554"/>
      <c r="D3" s="2554"/>
      <c r="E3" s="2554"/>
      <c r="F3" s="2554"/>
      <c r="G3" s="2554"/>
      <c r="H3" s="2554"/>
      <c r="I3" s="2202"/>
      <c r="J3" s="2202"/>
    </row>
    <row r="4" spans="1:12" ht="18">
      <c r="A4" s="2555" t="s">
        <v>115</v>
      </c>
      <c r="B4" s="2554"/>
      <c r="C4" s="2554"/>
      <c r="D4" s="2554"/>
      <c r="E4" s="2554"/>
      <c r="F4" s="2554"/>
      <c r="G4" s="2554"/>
      <c r="H4" s="2554"/>
      <c r="I4" s="2202"/>
      <c r="J4" s="2202"/>
    </row>
    <row r="5" spans="1:12" ht="18">
      <c r="A5" s="2479" t="str">
        <f>+'SWEPCO TCOS'!F8</f>
        <v>SOUTHWESTERN ELECTRIC POWER COMPANY</v>
      </c>
      <c r="B5" s="2479"/>
      <c r="C5" s="2479"/>
      <c r="D5" s="2479"/>
      <c r="E5" s="2479"/>
      <c r="F5" s="2479"/>
      <c r="G5" s="2479"/>
      <c r="I5" s="2202"/>
      <c r="J5" s="2202"/>
    </row>
    <row r="7" spans="1:12" ht="21.75" customHeight="1">
      <c r="A7" s="2203" t="s">
        <v>312</v>
      </c>
      <c r="B7" s="1277" t="str">
        <f>"DEVELOPMENT OF COMPOSITE STATE INCOME TAX  RATES FOR "&amp;'SWEPCO TCOS'!$N$2&amp;""</f>
        <v>DEVELOPMENT OF COMPOSITE STATE INCOME TAX  RATES FOR 2018</v>
      </c>
      <c r="C7" s="1277"/>
      <c r="D7" s="1277"/>
      <c r="E7" s="1277"/>
      <c r="F7" s="1277"/>
      <c r="G7" s="1277"/>
      <c r="H7" s="1277"/>
      <c r="I7" s="1277"/>
      <c r="J7" s="1277"/>
    </row>
    <row r="8" spans="1:12" ht="12.75" customHeight="1">
      <c r="A8" s="1277"/>
    </row>
    <row r="9" spans="1:12" ht="18">
      <c r="A9" s="2204"/>
      <c r="B9" s="2205" t="s">
        <v>1394</v>
      </c>
      <c r="C9" s="2205"/>
      <c r="D9" s="2206" t="s">
        <v>132</v>
      </c>
      <c r="E9" s="2207">
        <v>6.5000000000000002E-2</v>
      </c>
      <c r="F9" s="926"/>
      <c r="G9" s="2208"/>
      <c r="H9" s="2208"/>
      <c r="L9" s="846"/>
    </row>
    <row r="10" spans="1:12" ht="15">
      <c r="A10" s="846"/>
      <c r="B10" s="785" t="s">
        <v>342</v>
      </c>
      <c r="C10" s="2209"/>
      <c r="D10" s="2209"/>
      <c r="E10" s="2207">
        <v>0.24398600000000001</v>
      </c>
      <c r="F10" s="926"/>
      <c r="G10" s="2208"/>
      <c r="H10" s="2208"/>
      <c r="L10" s="846"/>
    </row>
    <row r="11" spans="1:12" ht="15">
      <c r="A11" s="846"/>
      <c r="B11" s="785" t="s">
        <v>36</v>
      </c>
      <c r="C11" s="2209"/>
      <c r="D11" s="2209"/>
      <c r="E11" s="926"/>
      <c r="F11" s="2210">
        <f>ROUND(E9*E10,6)</f>
        <v>1.5859000000000002E-2</v>
      </c>
      <c r="G11" s="2208"/>
      <c r="L11" s="846"/>
    </row>
    <row r="12" spans="1:12" ht="15">
      <c r="A12" s="846"/>
      <c r="B12" s="785"/>
      <c r="C12" s="2209"/>
      <c r="D12" s="2209"/>
      <c r="E12" s="2209"/>
      <c r="F12" s="2211"/>
      <c r="G12" s="2208"/>
      <c r="L12" s="846"/>
    </row>
    <row r="13" spans="1:12" ht="15">
      <c r="A13" s="846"/>
      <c r="B13" s="2205" t="s">
        <v>1395</v>
      </c>
      <c r="C13" s="2205"/>
      <c r="D13" s="2209"/>
      <c r="E13" s="2207">
        <v>0.08</v>
      </c>
      <c r="F13" s="2210"/>
      <c r="G13" s="2208"/>
      <c r="L13" s="846"/>
    </row>
    <row r="14" spans="1:12" ht="15">
      <c r="A14" s="846"/>
      <c r="B14" s="785" t="s">
        <v>342</v>
      </c>
      <c r="C14" s="2209"/>
      <c r="D14" s="2209"/>
      <c r="E14" s="2207">
        <v>0.3826</v>
      </c>
      <c r="F14" s="2210"/>
      <c r="G14" s="2208"/>
      <c r="L14" s="846"/>
    </row>
    <row r="15" spans="1:12" ht="15">
      <c r="A15" s="846"/>
      <c r="B15" s="785" t="s">
        <v>36</v>
      </c>
      <c r="C15" s="2209"/>
      <c r="D15" s="2209"/>
      <c r="E15" s="926"/>
      <c r="F15" s="2210">
        <f>ROUND(E13*E14,6)</f>
        <v>3.0608E-2</v>
      </c>
      <c r="G15" s="2208"/>
      <c r="L15" s="846"/>
    </row>
    <row r="16" spans="1:12" ht="15">
      <c r="A16" s="846"/>
      <c r="B16" s="785"/>
      <c r="C16" s="2209"/>
      <c r="D16" s="2209"/>
      <c r="E16" s="2209"/>
      <c r="F16" s="2210"/>
      <c r="G16" s="2208"/>
      <c r="L16" s="846"/>
    </row>
    <row r="17" spans="1:12" ht="15">
      <c r="A17" s="846"/>
      <c r="B17" s="2205" t="s">
        <v>131</v>
      </c>
      <c r="C17" s="2205"/>
      <c r="D17" s="2212"/>
      <c r="E17" s="2207">
        <v>5.6599999999999998E-2</v>
      </c>
      <c r="F17" s="2213"/>
      <c r="G17" s="2208"/>
      <c r="L17" s="846"/>
    </row>
    <row r="18" spans="1:12" ht="15">
      <c r="A18" s="846"/>
      <c r="B18" s="785" t="s">
        <v>342</v>
      </c>
      <c r="C18" s="2209"/>
      <c r="D18" s="2212"/>
      <c r="E18" s="2207">
        <v>1.6509999999999999E-3</v>
      </c>
      <c r="F18" s="2213"/>
      <c r="G18" s="2208"/>
      <c r="L18" s="846"/>
    </row>
    <row r="19" spans="1:12" ht="15">
      <c r="A19" s="846"/>
      <c r="B19" s="785" t="s">
        <v>36</v>
      </c>
      <c r="C19" s="2209"/>
      <c r="D19" s="2212"/>
      <c r="E19" s="926"/>
      <c r="F19" s="2210">
        <f>ROUND(E17*E18,6)</f>
        <v>9.2999999999999997E-5</v>
      </c>
      <c r="G19" s="2208"/>
      <c r="L19" s="846"/>
    </row>
    <row r="20" spans="1:12" ht="15">
      <c r="A20" s="846"/>
      <c r="B20" s="785"/>
      <c r="C20" s="2209"/>
      <c r="D20" s="2212"/>
      <c r="E20" s="2209"/>
      <c r="F20" s="2210"/>
      <c r="G20" s="2208"/>
      <c r="L20" s="846"/>
    </row>
    <row r="21" spans="1:12" ht="15">
      <c r="A21" s="846"/>
      <c r="B21" s="2205" t="s">
        <v>1393</v>
      </c>
      <c r="C21" s="2205"/>
      <c r="D21" s="2212"/>
      <c r="E21" s="2207">
        <v>7.4999999999999997E-3</v>
      </c>
      <c r="F21" s="2210"/>
      <c r="G21" s="2208"/>
      <c r="L21" s="846"/>
    </row>
    <row r="22" spans="1:12" ht="15">
      <c r="A22" s="846"/>
      <c r="B22" s="785" t="s">
        <v>342</v>
      </c>
      <c r="C22" s="2212"/>
      <c r="D22" s="2212"/>
      <c r="E22" s="2207">
        <v>3.0700000000000002E-2</v>
      </c>
      <c r="F22" s="2210"/>
      <c r="G22" s="2208"/>
      <c r="L22" s="846"/>
    </row>
    <row r="23" spans="1:12" ht="15">
      <c r="A23" s="846"/>
      <c r="B23" s="785" t="s">
        <v>36</v>
      </c>
      <c r="C23" s="2212"/>
      <c r="D23" s="2212"/>
      <c r="E23" s="2214"/>
      <c r="F23" s="2210">
        <f>ROUND(E21*E22,6)</f>
        <v>2.3000000000000001E-4</v>
      </c>
      <c r="G23" s="2208"/>
      <c r="L23" s="846"/>
    </row>
    <row r="24" spans="1:12" ht="15">
      <c r="A24" s="846"/>
      <c r="B24" s="785"/>
      <c r="C24" s="2209"/>
      <c r="D24" s="2209"/>
      <c r="E24" s="926"/>
      <c r="F24" s="2210"/>
      <c r="G24" s="2208"/>
      <c r="L24" s="846"/>
    </row>
    <row r="25" spans="1:12" ht="15">
      <c r="A25" s="846"/>
      <c r="B25" s="2205" t="s">
        <v>1396</v>
      </c>
      <c r="C25" s="2205"/>
      <c r="D25" s="2212"/>
      <c r="E25" s="2207">
        <v>5.5800000000000002E-2</v>
      </c>
      <c r="F25" s="2210"/>
      <c r="G25" s="2208"/>
      <c r="L25" s="846"/>
    </row>
    <row r="26" spans="1:12" ht="15">
      <c r="A26" s="846"/>
      <c r="B26" s="785" t="s">
        <v>342</v>
      </c>
      <c r="C26" s="2212"/>
      <c r="D26" s="2212"/>
      <c r="E26" s="2207">
        <v>2.03E-4</v>
      </c>
      <c r="F26" s="2210"/>
      <c r="G26" s="2208"/>
      <c r="L26" s="846"/>
    </row>
    <row r="27" spans="1:12" ht="15">
      <c r="A27" s="846"/>
      <c r="B27" s="785" t="s">
        <v>36</v>
      </c>
      <c r="C27" s="2212"/>
      <c r="D27" s="2212"/>
      <c r="E27" s="2214"/>
      <c r="F27" s="2210">
        <f>ROUND(E25*E26,6)</f>
        <v>1.1E-5</v>
      </c>
      <c r="G27" s="2208"/>
      <c r="L27" s="846"/>
    </row>
    <row r="28" spans="1:12" ht="15">
      <c r="A28" s="846"/>
      <c r="B28" s="785"/>
      <c r="C28" s="2209"/>
      <c r="D28" s="2209"/>
      <c r="E28" s="926"/>
      <c r="F28" s="2210"/>
      <c r="G28" s="2208"/>
      <c r="L28" s="846"/>
    </row>
    <row r="29" spans="1:12" ht="15.75" thickBot="1">
      <c r="A29" s="846"/>
      <c r="B29" s="926" t="s">
        <v>343</v>
      </c>
      <c r="C29" s="2209"/>
      <c r="D29" s="2209"/>
      <c r="E29" s="926"/>
      <c r="F29" s="2215">
        <f>+ROUND(SUM(F10:F28),4)</f>
        <v>4.6800000000000001E-2</v>
      </c>
      <c r="G29" s="2208"/>
      <c r="I29" s="2216"/>
      <c r="L29" s="846"/>
    </row>
    <row r="30" spans="1:12" ht="13.5" thickTop="1">
      <c r="A30" s="846"/>
      <c r="G30" s="2208"/>
      <c r="L30" s="846"/>
    </row>
    <row r="31" spans="1:12" ht="15">
      <c r="A31" s="846"/>
      <c r="B31" s="2217" t="s">
        <v>903</v>
      </c>
      <c r="G31" s="2208"/>
      <c r="L31" s="846"/>
    </row>
    <row r="32" spans="1:12" ht="15">
      <c r="A32" s="846"/>
      <c r="B32" s="926" t="s">
        <v>134</v>
      </c>
      <c r="G32" s="2208"/>
      <c r="L32" s="846"/>
    </row>
    <row r="33" spans="1:12" ht="15">
      <c r="A33" s="846"/>
      <c r="B33" s="926"/>
      <c r="G33" s="2208"/>
      <c r="L33" s="846"/>
    </row>
    <row r="34" spans="1:12" ht="18">
      <c r="A34" s="2203" t="s">
        <v>313</v>
      </c>
      <c r="B34" s="1277" t="s">
        <v>362</v>
      </c>
      <c r="C34" s="926"/>
      <c r="D34" s="926"/>
      <c r="E34" s="926"/>
      <c r="F34" s="926"/>
    </row>
    <row r="35" spans="1:12" ht="18">
      <c r="C35" s="1277"/>
      <c r="I35" s="2576" t="s">
        <v>504</v>
      </c>
      <c r="J35" s="2576"/>
      <c r="K35" s="2576"/>
      <c r="L35" s="926"/>
    </row>
    <row r="36" spans="1:12" ht="15">
      <c r="I36" s="926"/>
      <c r="J36" s="926"/>
      <c r="K36" s="926"/>
      <c r="L36" s="926"/>
    </row>
    <row r="37" spans="1:12" ht="15">
      <c r="I37" s="1195" t="s">
        <v>37</v>
      </c>
      <c r="J37" s="1195"/>
      <c r="K37" s="1195" t="s">
        <v>38</v>
      </c>
      <c r="L37" s="926"/>
    </row>
    <row r="38" spans="1:12" ht="15">
      <c r="A38" s="1195" t="s">
        <v>155</v>
      </c>
      <c r="B38" s="783" t="str">
        <f>"REVENUE REQUIREMENT BEFORE TEXAS GROSS MARGIN TAX (TCOS ln "&amp;'SWEPCO TCOS'!B191&amp;") "</f>
        <v xml:space="preserve">REVENUE REQUIREMENT BEFORE TEXAS GROSS MARGIN TAX (TCOS ln 116) </v>
      </c>
      <c r="I38" s="2218">
        <f>+'SWEPCO TCOS'!G188</f>
        <v>663084776.9615072</v>
      </c>
      <c r="J38" s="926"/>
      <c r="K38" s="2218">
        <f>+'SWEPCO TCOS'!L188</f>
        <v>167539603.41354838</v>
      </c>
      <c r="L38" s="926"/>
    </row>
    <row r="39" spans="1:12" ht="15">
      <c r="A39" s="926"/>
      <c r="B39" s="783"/>
      <c r="I39" s="926"/>
      <c r="J39" s="926"/>
      <c r="K39" s="926"/>
      <c r="L39" s="926"/>
    </row>
    <row r="40" spans="1:12" ht="15">
      <c r="A40" s="1195">
        <v>1</v>
      </c>
      <c r="B40" s="783" t="str">
        <f>"Apportionment Factor to Texas (ln"&amp;A53&amp;")"</f>
        <v>Apportionment Factor to Texas (ln12)</v>
      </c>
      <c r="I40" s="2219">
        <f>+$E53</f>
        <v>0.39634968110566327</v>
      </c>
      <c r="J40" s="926"/>
      <c r="K40" s="2219">
        <f>+$E53</f>
        <v>0.39634968110566327</v>
      </c>
      <c r="L40" s="926"/>
    </row>
    <row r="41" spans="1:12" ht="15">
      <c r="A41" s="1195">
        <f t="shared" ref="A41:A46" si="0">+A40+1</f>
        <v>2</v>
      </c>
      <c r="B41" s="783" t="s">
        <v>39</v>
      </c>
      <c r="I41" s="656">
        <f>+I38*I40</f>
        <v>262813439.89471322</v>
      </c>
      <c r="J41" s="926"/>
      <c r="K41" s="656">
        <f>+K38*K40</f>
        <v>66404268.38552919</v>
      </c>
      <c r="L41" s="926"/>
    </row>
    <row r="42" spans="1:12" ht="15">
      <c r="A42" s="1195">
        <f t="shared" si="0"/>
        <v>3</v>
      </c>
      <c r="B42" s="783" t="s">
        <v>904</v>
      </c>
      <c r="I42" s="2220">
        <v>0.13597918350365104</v>
      </c>
      <c r="J42" s="926"/>
      <c r="K42" s="2221">
        <f>+I42</f>
        <v>0.13597918350365104</v>
      </c>
      <c r="L42" s="926"/>
    </row>
    <row r="43" spans="1:12" ht="15">
      <c r="A43" s="1195">
        <f t="shared" si="0"/>
        <v>4</v>
      </c>
      <c r="B43" s="783" t="s">
        <v>40</v>
      </c>
      <c r="I43" s="2222">
        <f>+I41*I42</f>
        <v>35737156.970668972</v>
      </c>
      <c r="J43" s="926"/>
      <c r="K43" s="2222">
        <f>+K41*K42</f>
        <v>9029598.1962215677</v>
      </c>
      <c r="L43" s="926"/>
    </row>
    <row r="44" spans="1:12" ht="15">
      <c r="A44" s="1195">
        <f t="shared" si="0"/>
        <v>5</v>
      </c>
      <c r="B44" s="783" t="s">
        <v>905</v>
      </c>
      <c r="I44" s="2221">
        <v>7.4999999999999997E-3</v>
      </c>
      <c r="J44" s="926"/>
      <c r="K44" s="2221">
        <f>+I44</f>
        <v>7.4999999999999997E-3</v>
      </c>
      <c r="L44" s="926"/>
    </row>
    <row r="45" spans="1:12" ht="15">
      <c r="A45" s="1195">
        <f t="shared" si="0"/>
        <v>6</v>
      </c>
      <c r="B45" s="783" t="s">
        <v>41</v>
      </c>
      <c r="I45" s="804">
        <f>+I43*I44</f>
        <v>268028.67728001729</v>
      </c>
      <c r="J45" s="926"/>
      <c r="K45" s="804">
        <f>+K43*K44</f>
        <v>67721.986471661759</v>
      </c>
      <c r="L45" s="926"/>
    </row>
    <row r="46" spans="1:12" ht="15">
      <c r="A46" s="1195">
        <f t="shared" si="0"/>
        <v>7</v>
      </c>
      <c r="B46" s="662" t="s">
        <v>42</v>
      </c>
      <c r="I46" s="820">
        <f>+ROUND((I45*I42*I40)/(1-I44)*I44,0)</f>
        <v>109</v>
      </c>
      <c r="J46" s="926"/>
      <c r="K46" s="820">
        <f>+ROUND((K45*K42*K40)/(1-K44)*K44,0)</f>
        <v>28</v>
      </c>
      <c r="L46" s="926"/>
    </row>
    <row r="47" spans="1:12" ht="15">
      <c r="A47" s="1195"/>
      <c r="B47" s="662"/>
      <c r="D47" s="2223" t="str">
        <f>"   ((ln "&amp;A45&amp;" * ln "&amp;A42&amp;" * ln "&amp;A40&amp;")/(1- ln "&amp;A44&amp;") * ln "&amp;A44&amp;")"</f>
        <v xml:space="preserve">   ((ln 6 * ln 3 * ln 1)/(1- ln 5) * ln 5)</v>
      </c>
      <c r="I47" s="820"/>
      <c r="J47" s="926"/>
      <c r="K47" s="820"/>
      <c r="L47" s="926"/>
    </row>
    <row r="48" spans="1:12" ht="15">
      <c r="A48" s="1195">
        <f>+A46+1</f>
        <v>8</v>
      </c>
      <c r="B48" s="662" t="s">
        <v>31</v>
      </c>
      <c r="I48" s="2224">
        <f>+I45+I46</f>
        <v>268137.67728001729</v>
      </c>
      <c r="J48" s="926"/>
      <c r="K48" s="2224">
        <f>+K45+K46</f>
        <v>67749.986471661759</v>
      </c>
      <c r="L48" s="926"/>
    </row>
    <row r="49" spans="1:12" ht="15">
      <c r="A49" s="1195"/>
      <c r="I49" s="926"/>
      <c r="J49" s="926"/>
      <c r="K49" s="926"/>
      <c r="L49" s="926"/>
    </row>
    <row r="50" spans="1:12" ht="15">
      <c r="A50" s="1195">
        <f>+A48+1</f>
        <v>9</v>
      </c>
      <c r="B50" s="835" t="s">
        <v>43</v>
      </c>
      <c r="C50" s="896"/>
      <c r="D50" s="786"/>
      <c r="E50" s="662"/>
    </row>
    <row r="51" spans="1:12" ht="15">
      <c r="A51" s="1195">
        <f>+A50+1</f>
        <v>10</v>
      </c>
      <c r="B51" s="835" t="s">
        <v>44</v>
      </c>
      <c r="C51" s="896"/>
      <c r="D51" s="786"/>
      <c r="E51" s="2225">
        <v>1200194</v>
      </c>
      <c r="F51" s="791" t="s">
        <v>1</v>
      </c>
      <c r="G51" s="1897"/>
    </row>
    <row r="52" spans="1:12" ht="15">
      <c r="A52" s="1195">
        <f>+A51+1</f>
        <v>11</v>
      </c>
      <c r="B52" s="835" t="s">
        <v>45</v>
      </c>
      <c r="C52" s="896"/>
      <c r="D52" s="786"/>
      <c r="E52" s="2225">
        <v>3028119</v>
      </c>
      <c r="F52" s="791" t="s">
        <v>1</v>
      </c>
    </row>
    <row r="53" spans="1:12" ht="15">
      <c r="A53" s="1195">
        <f>+A52+1</f>
        <v>12</v>
      </c>
      <c r="B53" s="835" t="s">
        <v>46</v>
      </c>
      <c r="C53" s="896" t="str">
        <f>"(ln "&amp;A51&amp;" / ln "&amp;A52&amp;")"</f>
        <v>(ln 10 / ln 11)</v>
      </c>
      <c r="D53" s="786"/>
      <c r="E53" s="2226">
        <f>IF(E52=0,0,E51/E52)</f>
        <v>0.39634968110566327</v>
      </c>
    </row>
  </sheetData>
  <mergeCells count="5">
    <mergeCell ref="A2:H2"/>
    <mergeCell ref="A3:H3"/>
    <mergeCell ref="A4:H4"/>
    <mergeCell ref="A5:G5"/>
    <mergeCell ref="I35:K35"/>
  </mergeCells>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5"/>
  <sheetViews>
    <sheetView showGridLines="0" topLeftCell="A37" zoomScale="81" zoomScaleNormal="81" zoomScaleSheetLayoutView="75" zoomScalePageLayoutView="90" workbookViewId="0">
      <selection activeCell="A37" sqref="A1:XFD1048576"/>
    </sheetView>
  </sheetViews>
  <sheetFormatPr defaultColWidth="9.140625" defaultRowHeight="12.75"/>
  <cols>
    <col min="1" max="1" width="7.28515625" style="2274" customWidth="1"/>
    <col min="2" max="2" width="1.7109375" style="2228" customWidth="1"/>
    <col min="3" max="3" width="77" style="2228" customWidth="1"/>
    <col min="4" max="4" width="1.7109375" style="2228" customWidth="1"/>
    <col min="5" max="5" width="20.42578125" style="2229" customWidth="1"/>
    <col min="6" max="6" width="1.7109375" style="2230" customWidth="1"/>
    <col min="7" max="7" width="20" style="2230" bestFit="1" customWidth="1"/>
    <col min="8" max="8" width="1.7109375" style="2230" customWidth="1"/>
    <col min="9" max="9" width="21.42578125" style="2230" customWidth="1"/>
    <col min="10" max="10" width="1.7109375" style="2230" customWidth="1"/>
    <col min="11" max="11" width="17.7109375" style="2230" bestFit="1" customWidth="1"/>
    <col min="12" max="12" width="3.42578125" style="2230" customWidth="1"/>
    <col min="13" max="13" width="21.28515625" style="2230" bestFit="1" customWidth="1"/>
    <col min="14" max="14" width="1.7109375" style="2230" hidden="1" customWidth="1"/>
    <col min="15" max="15" width="22.140625" style="2230" customWidth="1"/>
    <col min="16" max="20" width="9.140625" style="2230"/>
    <col min="21" max="21" width="13" style="2230" customWidth="1"/>
    <col min="22" max="16384" width="9.140625" style="2230"/>
  </cols>
  <sheetData>
    <row r="1" spans="1:29" ht="15">
      <c r="A1" s="2227"/>
    </row>
    <row r="2" spans="1:29" ht="18.75" customHeight="1">
      <c r="A2" s="2447" t="str">
        <f>+'SWEPCO TCOS'!F4</f>
        <v xml:space="preserve">AEP West SPP Member Operating Companies </v>
      </c>
      <c r="B2" s="2447"/>
      <c r="C2" s="2447"/>
      <c r="D2" s="2447"/>
      <c r="E2" s="2447"/>
      <c r="F2" s="2447"/>
      <c r="G2" s="2447"/>
      <c r="H2" s="2447"/>
      <c r="I2" s="2447"/>
      <c r="J2" s="2447"/>
      <c r="K2" s="2447"/>
      <c r="L2" s="2447"/>
      <c r="M2" s="2447"/>
    </row>
    <row r="3" spans="1:29" ht="18.75" customHeight="1">
      <c r="A3" s="2554" t="str">
        <f>+'SWEPCO WS A-1 - Plant'!A3</f>
        <v xml:space="preserve">Actual / Projected 2018 Rate Year Cost of Service Formula Rate </v>
      </c>
      <c r="B3" s="2554"/>
      <c r="C3" s="2554"/>
      <c r="D3" s="2554"/>
      <c r="E3" s="2554"/>
      <c r="F3" s="2554"/>
      <c r="G3" s="2554"/>
      <c r="H3" s="2554"/>
      <c r="I3" s="2554"/>
      <c r="J3" s="2554"/>
      <c r="K3" s="2554"/>
      <c r="L3" s="2554"/>
      <c r="M3" s="2554"/>
    </row>
    <row r="4" spans="1:29" ht="18.75" customHeight="1">
      <c r="A4" s="2555" t="s">
        <v>116</v>
      </c>
      <c r="B4" s="2554"/>
      <c r="C4" s="2554"/>
      <c r="D4" s="2554"/>
      <c r="E4" s="2554"/>
      <c r="F4" s="2554"/>
      <c r="G4" s="2554"/>
      <c r="H4" s="2554"/>
      <c r="I4" s="2554"/>
      <c r="J4" s="2554"/>
      <c r="K4" s="2554"/>
      <c r="L4" s="2554"/>
      <c r="M4" s="2554"/>
    </row>
    <row r="5" spans="1:29" ht="18" customHeight="1">
      <c r="A5" s="2448" t="str">
        <f>+'SWEPCO TCOS'!F8</f>
        <v>SOUTHWESTERN ELECTRIC POWER COMPANY</v>
      </c>
      <c r="B5" s="2448"/>
      <c r="C5" s="2448"/>
      <c r="D5" s="2448"/>
      <c r="E5" s="2448"/>
      <c r="F5" s="2448"/>
      <c r="G5" s="2448"/>
      <c r="H5" s="2448"/>
      <c r="I5" s="2448"/>
      <c r="J5" s="2448"/>
      <c r="K5" s="2448"/>
      <c r="L5" s="2448"/>
      <c r="M5" s="2448"/>
    </row>
    <row r="6" spans="1:29" ht="18" customHeight="1">
      <c r="A6" s="2578"/>
      <c r="B6" s="2578"/>
      <c r="C6" s="2578"/>
      <c r="D6" s="2578"/>
      <c r="E6" s="2578"/>
      <c r="F6" s="2578"/>
      <c r="G6" s="2578"/>
      <c r="H6" s="2578"/>
      <c r="I6" s="2578"/>
      <c r="J6" s="2578"/>
      <c r="K6" s="2578"/>
      <c r="L6" s="2578"/>
      <c r="M6" s="2578"/>
    </row>
    <row r="7" spans="1:29" ht="18" customHeight="1">
      <c r="A7" s="2577"/>
      <c r="B7" s="2577"/>
      <c r="C7" s="2577"/>
      <c r="D7" s="2577"/>
      <c r="E7" s="2577"/>
      <c r="F7" s="2577"/>
      <c r="G7" s="2577"/>
      <c r="H7" s="2577"/>
      <c r="I7" s="2577"/>
      <c r="J7" s="2577"/>
      <c r="K7" s="2577"/>
      <c r="L7" s="2577"/>
      <c r="M7" s="2577"/>
    </row>
    <row r="8" spans="1:29" ht="18" customHeight="1">
      <c r="A8" s="1479"/>
      <c r="B8" s="1479"/>
      <c r="C8" s="1479"/>
      <c r="D8" s="1479"/>
      <c r="E8" s="1479"/>
      <c r="F8" s="1479"/>
      <c r="G8" s="1479"/>
      <c r="H8" s="1479"/>
      <c r="I8" s="1479"/>
      <c r="J8" s="1479"/>
      <c r="K8" s="1479"/>
      <c r="L8" s="1479"/>
      <c r="M8" s="1479"/>
    </row>
    <row r="9" spans="1:29" ht="19.5" customHeight="1">
      <c r="A9" s="2231"/>
      <c r="B9" s="2232"/>
      <c r="C9" s="1785" t="s">
        <v>303</v>
      </c>
      <c r="E9" s="1785" t="s">
        <v>304</v>
      </c>
      <c r="G9" s="1785" t="s">
        <v>305</v>
      </c>
      <c r="I9" s="1785" t="s">
        <v>306</v>
      </c>
      <c r="K9" s="1785" t="s">
        <v>231</v>
      </c>
      <c r="M9" s="1785" t="s">
        <v>232</v>
      </c>
    </row>
    <row r="10" spans="1:29" ht="18">
      <c r="A10" s="2233"/>
      <c r="B10" s="2234"/>
      <c r="C10" s="2234"/>
      <c r="D10" s="2234"/>
      <c r="E10" s="791"/>
      <c r="F10" s="791"/>
      <c r="G10" s="791"/>
      <c r="H10" s="791"/>
      <c r="I10" s="791"/>
      <c r="J10" s="791"/>
      <c r="K10" s="791"/>
      <c r="L10" s="791"/>
      <c r="M10" s="791"/>
      <c r="Q10" s="1195"/>
      <c r="R10" s="1195"/>
      <c r="S10" s="1195"/>
      <c r="T10" s="1195"/>
      <c r="U10" s="1195"/>
      <c r="V10" s="1195"/>
      <c r="W10" s="1195"/>
      <c r="X10" s="1195"/>
      <c r="Y10" s="1195"/>
      <c r="Z10" s="1195"/>
      <c r="AA10" s="1195"/>
      <c r="AB10" s="1195"/>
      <c r="AC10" s="1195"/>
    </row>
    <row r="11" spans="1:29" ht="19.5">
      <c r="A11" s="2233" t="s">
        <v>310</v>
      </c>
      <c r="B11" s="2234"/>
      <c r="C11" s="2234"/>
      <c r="D11" s="2234"/>
      <c r="E11" s="2235" t="s">
        <v>260</v>
      </c>
      <c r="F11" s="2233"/>
      <c r="G11" s="2233"/>
      <c r="H11" s="2233"/>
      <c r="I11" s="2233"/>
      <c r="J11" s="2233"/>
      <c r="K11" s="2236"/>
      <c r="L11" s="2236"/>
      <c r="M11" s="2237"/>
    </row>
    <row r="12" spans="1:29" ht="19.5">
      <c r="A12" s="2238" t="s">
        <v>259</v>
      </c>
      <c r="B12" s="2234"/>
      <c r="C12" s="2238" t="s">
        <v>392</v>
      </c>
      <c r="D12" s="2234"/>
      <c r="E12" s="2239" t="s">
        <v>322</v>
      </c>
      <c r="F12" s="2233"/>
      <c r="G12" s="2238" t="s">
        <v>393</v>
      </c>
      <c r="H12" s="2233"/>
      <c r="I12" s="2238" t="s">
        <v>302</v>
      </c>
      <c r="J12" s="2233"/>
      <c r="K12" s="2240" t="s">
        <v>320</v>
      </c>
      <c r="L12" s="2241"/>
      <c r="M12" s="2240" t="s">
        <v>394</v>
      </c>
    </row>
    <row r="13" spans="1:29" ht="19.5">
      <c r="A13" s="2242"/>
      <c r="B13" s="2232"/>
      <c r="C13" s="2243"/>
      <c r="D13" s="2243"/>
      <c r="E13" s="2243"/>
      <c r="F13" s="2243"/>
      <c r="G13" s="2243"/>
      <c r="H13" s="2243"/>
      <c r="I13" s="2243"/>
      <c r="J13" s="2243"/>
      <c r="K13" s="2244"/>
      <c r="L13" s="2244"/>
    </row>
    <row r="14" spans="1:29" ht="19.5">
      <c r="A14" s="2231"/>
      <c r="B14" s="2232"/>
      <c r="C14" s="2245"/>
      <c r="D14" s="2232"/>
      <c r="E14" s="2246"/>
      <c r="F14" s="2247"/>
      <c r="G14" s="2247"/>
      <c r="H14" s="2247"/>
      <c r="I14" s="2246"/>
      <c r="J14" s="2247"/>
      <c r="K14" s="2244"/>
      <c r="L14" s="2244"/>
    </row>
    <row r="15" spans="1:29" ht="19.5">
      <c r="A15" s="2231">
        <v>1</v>
      </c>
      <c r="B15" s="2232"/>
      <c r="C15" s="2248" t="s">
        <v>397</v>
      </c>
      <c r="D15" s="2232"/>
      <c r="E15" s="2244"/>
      <c r="F15" s="2244"/>
      <c r="G15" s="2249"/>
      <c r="H15" s="2249"/>
      <c r="I15" s="2249"/>
      <c r="J15" s="2249"/>
      <c r="K15" s="2249"/>
      <c r="L15" s="2249"/>
      <c r="M15" s="2249"/>
    </row>
    <row r="16" spans="1:29" ht="19.5">
      <c r="A16" s="2231">
        <f>+A15+1</f>
        <v>2</v>
      </c>
      <c r="B16" s="2232"/>
      <c r="C16" s="2250" t="s">
        <v>1468</v>
      </c>
      <c r="D16" s="2232"/>
      <c r="E16" s="2250">
        <f>6693737+2+102</f>
        <v>6693841</v>
      </c>
      <c r="F16" s="2244"/>
      <c r="G16" s="2250"/>
      <c r="H16" s="2250"/>
      <c r="I16" s="2250"/>
      <c r="J16" s="2250"/>
      <c r="K16" s="2250"/>
      <c r="L16" s="2250"/>
      <c r="M16" s="2250">
        <f>+E16</f>
        <v>6693841</v>
      </c>
    </row>
    <row r="17" spans="1:25" ht="19.5">
      <c r="A17" s="2231"/>
      <c r="B17" s="2232"/>
      <c r="C17" s="2236"/>
      <c r="D17" s="2232"/>
      <c r="E17" s="2251"/>
      <c r="F17" s="2244"/>
      <c r="G17" s="2251"/>
      <c r="H17" s="2251"/>
      <c r="I17" s="2251"/>
      <c r="J17" s="2251"/>
      <c r="K17" s="2251"/>
      <c r="L17" s="2251"/>
      <c r="M17" s="2251"/>
      <c r="O17" s="2252"/>
    </row>
    <row r="18" spans="1:25" ht="19.5">
      <c r="A18" s="2231">
        <f>A16+1</f>
        <v>3</v>
      </c>
      <c r="B18" s="2232"/>
      <c r="C18" s="2248" t="s">
        <v>398</v>
      </c>
      <c r="D18" s="2232"/>
      <c r="E18" s="2253"/>
      <c r="F18" s="2254"/>
      <c r="G18" s="2253"/>
      <c r="H18" s="2253"/>
      <c r="I18" s="2253"/>
      <c r="J18" s="2253"/>
      <c r="K18" s="2253"/>
      <c r="L18" s="2253"/>
      <c r="M18" s="2253"/>
      <c r="O18" s="700"/>
    </row>
    <row r="19" spans="1:25" ht="18">
      <c r="A19" s="2231">
        <f>+A18+1</f>
        <v>4</v>
      </c>
      <c r="B19" s="2232"/>
      <c r="C19" s="2250" t="s">
        <v>1469</v>
      </c>
      <c r="D19" s="2232"/>
      <c r="E19" s="2250">
        <f>446464-183</f>
        <v>446281</v>
      </c>
      <c r="F19" s="2247"/>
      <c r="G19" s="2250">
        <f>+E19</f>
        <v>446281</v>
      </c>
      <c r="H19" s="2250"/>
      <c r="I19" s="2250"/>
      <c r="J19" s="2250"/>
      <c r="K19" s="2250"/>
      <c r="L19" s="2250"/>
      <c r="M19" s="2250"/>
      <c r="O19" s="700"/>
      <c r="P19" s="791"/>
      <c r="Q19" s="791"/>
      <c r="R19" s="791"/>
      <c r="S19" s="791"/>
      <c r="T19" s="791"/>
      <c r="U19" s="791"/>
      <c r="V19" s="791"/>
      <c r="W19" s="791"/>
      <c r="X19" s="791"/>
      <c r="Y19" s="791"/>
    </row>
    <row r="20" spans="1:25" ht="19.5">
      <c r="A20" s="2231">
        <f>+A19+1</f>
        <v>5</v>
      </c>
      <c r="B20" s="2232"/>
      <c r="C20" s="2250" t="s">
        <v>1470</v>
      </c>
      <c r="D20" s="2232"/>
      <c r="E20" s="2250">
        <f>180378+14741710</f>
        <v>14922088</v>
      </c>
      <c r="F20" s="2244"/>
      <c r="G20" s="2250">
        <f>+E20</f>
        <v>14922088</v>
      </c>
      <c r="H20" s="2250"/>
      <c r="I20" s="2250"/>
      <c r="J20" s="2250"/>
      <c r="K20" s="2250"/>
      <c r="L20" s="2250"/>
      <c r="M20" s="2250"/>
      <c r="O20" s="700"/>
      <c r="P20" s="791"/>
      <c r="Q20" s="791"/>
      <c r="R20" s="791"/>
      <c r="S20" s="791"/>
      <c r="T20" s="791"/>
      <c r="U20" s="791"/>
      <c r="V20" s="791"/>
      <c r="W20" s="791"/>
      <c r="X20" s="791"/>
      <c r="Y20" s="791"/>
    </row>
    <row r="21" spans="1:25" ht="18">
      <c r="A21" s="2231">
        <f>+A20+1</f>
        <v>6</v>
      </c>
      <c r="B21" s="2232"/>
      <c r="C21" s="2255" t="s">
        <v>1471</v>
      </c>
      <c r="D21" s="2232"/>
      <c r="E21" s="2255">
        <f>125521+25299390</f>
        <v>25424911</v>
      </c>
      <c r="F21" s="2247"/>
      <c r="G21" s="2250">
        <f>+E21</f>
        <v>25424911</v>
      </c>
      <c r="H21" s="2250"/>
      <c r="I21" s="2250"/>
      <c r="J21" s="2250"/>
      <c r="K21" s="2250"/>
      <c r="L21" s="2250"/>
      <c r="M21" s="2256"/>
      <c r="O21" s="700"/>
      <c r="P21" s="791"/>
      <c r="Q21" s="791"/>
      <c r="R21" s="791"/>
      <c r="S21" s="791"/>
      <c r="T21" s="791"/>
      <c r="U21" s="791"/>
      <c r="V21" s="791"/>
      <c r="W21" s="791"/>
      <c r="X21" s="791"/>
      <c r="Y21" s="791"/>
    </row>
    <row r="22" spans="1:25" ht="19.5">
      <c r="A22" s="2231">
        <f>+A21+1</f>
        <v>7</v>
      </c>
      <c r="B22" s="2232"/>
      <c r="C22" s="2250" t="s">
        <v>1472</v>
      </c>
      <c r="D22" s="2232"/>
      <c r="E22" s="2250">
        <f>21100588-545142</f>
        <v>20555446</v>
      </c>
      <c r="F22" s="2244"/>
      <c r="G22" s="2250">
        <f>+E22</f>
        <v>20555446</v>
      </c>
      <c r="H22" s="2250"/>
      <c r="I22" s="2250"/>
      <c r="J22" s="2250"/>
      <c r="K22" s="2250"/>
      <c r="L22" s="2250"/>
      <c r="M22" s="2250"/>
      <c r="O22" s="700"/>
      <c r="P22" s="791"/>
      <c r="Q22" s="791"/>
      <c r="R22" s="791"/>
      <c r="S22" s="791"/>
      <c r="T22" s="791"/>
      <c r="U22" s="791"/>
      <c r="V22" s="791"/>
      <c r="W22" s="791"/>
      <c r="X22" s="791"/>
      <c r="Y22" s="791"/>
    </row>
    <row r="23" spans="1:25" ht="19.5">
      <c r="A23" s="2231"/>
      <c r="B23" s="2232"/>
      <c r="C23" s="2236"/>
      <c r="D23" s="2232"/>
      <c r="E23" s="2251"/>
      <c r="F23" s="2244"/>
      <c r="G23" s="2251"/>
      <c r="H23" s="2251"/>
      <c r="I23" s="2251"/>
      <c r="J23" s="2251"/>
      <c r="K23" s="2251"/>
      <c r="L23" s="2251"/>
      <c r="M23" s="2251"/>
      <c r="O23" s="700"/>
      <c r="P23" s="791"/>
      <c r="Q23" s="791"/>
      <c r="R23" s="791"/>
      <c r="S23" s="791"/>
      <c r="T23" s="791"/>
      <c r="U23" s="791"/>
      <c r="V23" s="791"/>
      <c r="W23" s="791"/>
      <c r="X23" s="791"/>
      <c r="Y23" s="791"/>
    </row>
    <row r="24" spans="1:25" ht="19.5">
      <c r="A24" s="2231">
        <f>22+1</f>
        <v>23</v>
      </c>
      <c r="B24" s="2232"/>
      <c r="C24" s="2248" t="s">
        <v>399</v>
      </c>
      <c r="D24" s="2232"/>
      <c r="E24" s="2251"/>
      <c r="F24" s="2244"/>
      <c r="G24" s="2251"/>
      <c r="H24" s="2251"/>
      <c r="I24" s="2251"/>
      <c r="J24" s="2251"/>
      <c r="K24" s="2251"/>
      <c r="L24" s="2251"/>
      <c r="M24" s="2251"/>
      <c r="O24" s="791"/>
      <c r="P24" s="791"/>
      <c r="Q24" s="791"/>
      <c r="R24" s="791"/>
      <c r="S24" s="791"/>
      <c r="T24" s="791"/>
      <c r="U24" s="791"/>
      <c r="V24" s="791"/>
      <c r="W24" s="791"/>
      <c r="X24" s="791"/>
      <c r="Y24" s="791"/>
    </row>
    <row r="25" spans="1:25" ht="19.5">
      <c r="A25" s="2231">
        <f>+A24+1</f>
        <v>24</v>
      </c>
      <c r="B25" s="2232"/>
      <c r="C25" s="2250" t="s">
        <v>1473</v>
      </c>
      <c r="D25" s="2232"/>
      <c r="E25" s="2250">
        <v>7075764</v>
      </c>
      <c r="F25" s="2244"/>
      <c r="G25" s="2250"/>
      <c r="H25" s="2250"/>
      <c r="I25" s="2250">
        <f>+E25</f>
        <v>7075764</v>
      </c>
      <c r="J25" s="2250"/>
      <c r="K25" s="2250"/>
      <c r="L25" s="2250"/>
      <c r="M25" s="2250"/>
      <c r="O25" s="791"/>
      <c r="P25" s="791"/>
      <c r="Q25" s="791"/>
      <c r="R25" s="791"/>
      <c r="S25" s="791"/>
      <c r="T25" s="791"/>
      <c r="U25" s="791"/>
      <c r="V25" s="791"/>
      <c r="W25" s="791"/>
      <c r="X25" s="791"/>
      <c r="Y25" s="791"/>
    </row>
    <row r="26" spans="1:25" ht="19.5">
      <c r="A26" s="2231">
        <f>+A25+1</f>
        <v>25</v>
      </c>
      <c r="B26" s="2232"/>
      <c r="C26" s="2250" t="s">
        <v>1474</v>
      </c>
      <c r="D26" s="2232"/>
      <c r="E26" s="2250">
        <v>45003</v>
      </c>
      <c r="F26" s="2244"/>
      <c r="G26" s="2250"/>
      <c r="H26" s="2250"/>
      <c r="I26" s="2250">
        <f>+E26</f>
        <v>45003</v>
      </c>
      <c r="J26" s="2250"/>
      <c r="K26" s="2250"/>
      <c r="L26" s="2250"/>
      <c r="M26" s="2250"/>
      <c r="O26" s="791"/>
      <c r="P26" s="791"/>
      <c r="Q26" s="791"/>
      <c r="R26" s="791"/>
      <c r="S26" s="791"/>
      <c r="T26" s="791"/>
      <c r="U26" s="791"/>
      <c r="V26" s="791"/>
      <c r="W26" s="791"/>
      <c r="X26" s="791"/>
      <c r="Y26" s="791"/>
    </row>
    <row r="27" spans="1:25" ht="19.5">
      <c r="A27" s="2231">
        <f>+A26+1</f>
        <v>26</v>
      </c>
      <c r="B27" s="2232"/>
      <c r="C27" s="2250" t="s">
        <v>1475</v>
      </c>
      <c r="D27" s="2232"/>
      <c r="E27" s="2250">
        <f>2890+29763-570</f>
        <v>32083</v>
      </c>
      <c r="F27" s="2244"/>
      <c r="G27" s="2250"/>
      <c r="H27" s="2250"/>
      <c r="I27" s="2250">
        <f>+E27</f>
        <v>32083</v>
      </c>
      <c r="J27" s="2250"/>
      <c r="K27" s="2250"/>
      <c r="L27" s="2250"/>
      <c r="M27" s="2250"/>
      <c r="O27" s="791"/>
      <c r="P27" s="791"/>
      <c r="Q27" s="791"/>
      <c r="R27" s="791"/>
      <c r="S27" s="791"/>
      <c r="T27" s="791"/>
      <c r="U27" s="791"/>
      <c r="V27" s="791"/>
      <c r="W27" s="791"/>
      <c r="X27" s="791"/>
      <c r="Y27" s="791"/>
    </row>
    <row r="28" spans="1:25" ht="19.5">
      <c r="A28" s="2231" t="s">
        <v>256</v>
      </c>
      <c r="B28" s="2232"/>
      <c r="C28" s="2244"/>
      <c r="D28" s="2232"/>
      <c r="E28" s="2251"/>
      <c r="F28" s="2244"/>
      <c r="G28" s="2251"/>
      <c r="H28" s="2251"/>
      <c r="I28" s="2251"/>
      <c r="J28" s="2251"/>
      <c r="K28" s="2251"/>
      <c r="L28" s="2251"/>
      <c r="M28" s="2251"/>
      <c r="O28" s="791"/>
      <c r="P28" s="791"/>
      <c r="Q28" s="791"/>
      <c r="R28" s="791"/>
      <c r="S28" s="791"/>
      <c r="T28" s="791"/>
      <c r="U28" s="791"/>
      <c r="V28" s="791"/>
      <c r="W28" s="791"/>
      <c r="X28" s="791"/>
      <c r="Y28" s="791"/>
    </row>
    <row r="29" spans="1:25" ht="19.5">
      <c r="A29" s="2231">
        <f>27+1</f>
        <v>28</v>
      </c>
      <c r="B29" s="2232"/>
      <c r="C29" s="2248" t="s">
        <v>62</v>
      </c>
      <c r="D29" s="2232"/>
      <c r="E29" s="2251"/>
      <c r="F29" s="2244"/>
      <c r="G29" s="2251"/>
      <c r="H29" s="2251"/>
      <c r="I29" s="2251"/>
      <c r="J29" s="2251"/>
      <c r="K29" s="2251"/>
      <c r="L29" s="2251"/>
      <c r="M29" s="2251"/>
      <c r="O29" s="791"/>
      <c r="P29" s="791"/>
      <c r="Q29" s="791"/>
      <c r="R29" s="791"/>
      <c r="S29" s="791"/>
      <c r="T29" s="791"/>
      <c r="U29" s="791"/>
      <c r="V29" s="791"/>
      <c r="W29" s="791"/>
      <c r="X29" s="791"/>
      <c r="Y29" s="791"/>
    </row>
    <row r="30" spans="1:25" ht="19.5">
      <c r="A30" s="2231">
        <f>A29+1</f>
        <v>29</v>
      </c>
      <c r="B30" s="2232"/>
      <c r="C30" s="965"/>
      <c r="D30" s="2232"/>
      <c r="E30" s="2250"/>
      <c r="F30" s="2244"/>
      <c r="G30" s="2250"/>
      <c r="H30" s="2250"/>
      <c r="I30" s="2250"/>
      <c r="J30" s="2250"/>
      <c r="K30" s="2250"/>
      <c r="L30" s="2250"/>
      <c r="M30" s="2250">
        <f>+E30</f>
        <v>0</v>
      </c>
      <c r="O30" s="791"/>
      <c r="P30" s="791"/>
      <c r="Q30" s="791"/>
      <c r="R30" s="791"/>
      <c r="S30" s="791"/>
      <c r="T30" s="791"/>
      <c r="U30" s="791"/>
      <c r="V30" s="791"/>
      <c r="W30" s="791"/>
      <c r="X30" s="791"/>
      <c r="Y30" s="791"/>
    </row>
    <row r="31" spans="1:25" ht="19.5">
      <c r="A31" s="2231">
        <f>A30+1</f>
        <v>30</v>
      </c>
      <c r="B31" s="2232"/>
      <c r="C31" s="965"/>
      <c r="D31" s="2232"/>
      <c r="E31" s="2250"/>
      <c r="F31" s="2244"/>
      <c r="G31" s="2250"/>
      <c r="H31" s="2250"/>
      <c r="I31" s="2250"/>
      <c r="J31" s="2250"/>
      <c r="K31" s="2250"/>
      <c r="L31" s="2250"/>
      <c r="M31" s="2250"/>
      <c r="O31" s="791"/>
      <c r="P31" s="791"/>
      <c r="Q31" s="791"/>
      <c r="R31" s="791"/>
      <c r="S31" s="791"/>
      <c r="T31" s="791"/>
      <c r="U31" s="791"/>
      <c r="V31" s="791"/>
      <c r="W31" s="791"/>
      <c r="X31" s="791"/>
      <c r="Y31" s="791"/>
    </row>
    <row r="32" spans="1:25" ht="19.5">
      <c r="A32" s="2231"/>
      <c r="B32" s="2232"/>
      <c r="C32" s="2244"/>
      <c r="D32" s="2232"/>
      <c r="E32" s="2251"/>
      <c r="F32" s="2244"/>
      <c r="G32" s="2251"/>
      <c r="H32" s="2251"/>
      <c r="I32" s="2251"/>
      <c r="J32" s="2251"/>
      <c r="K32" s="2251"/>
      <c r="L32" s="2251"/>
      <c r="M32" s="2251"/>
      <c r="O32" s="791"/>
      <c r="P32" s="791"/>
      <c r="Q32" s="791"/>
      <c r="R32" s="791"/>
      <c r="S32" s="791"/>
      <c r="T32" s="791"/>
      <c r="U32" s="791"/>
      <c r="V32" s="791"/>
      <c r="W32" s="791"/>
      <c r="X32" s="791"/>
      <c r="Y32" s="791"/>
    </row>
    <row r="33" spans="1:15" ht="19.5">
      <c r="A33" s="2257">
        <f>31+1</f>
        <v>32</v>
      </c>
      <c r="B33" s="2258"/>
      <c r="C33" s="2248" t="s">
        <v>396</v>
      </c>
      <c r="D33" s="2259"/>
      <c r="E33" s="2251"/>
      <c r="F33" s="2244"/>
      <c r="G33" s="2251"/>
      <c r="H33" s="2251"/>
      <c r="I33" s="2251"/>
      <c r="J33" s="2251"/>
      <c r="K33" s="2251"/>
      <c r="L33" s="2251"/>
      <c r="M33" s="2251"/>
    </row>
    <row r="34" spans="1:15" ht="19.5">
      <c r="A34" s="2257">
        <f t="shared" ref="A34:A58" si="0">A33+1</f>
        <v>33</v>
      </c>
      <c r="B34" s="2258"/>
      <c r="C34" s="2260" t="s">
        <v>1476</v>
      </c>
      <c r="D34" s="2232"/>
      <c r="E34" s="2250">
        <f>518+5630</f>
        <v>6148</v>
      </c>
      <c r="F34" s="2244"/>
      <c r="G34" s="2250"/>
      <c r="H34" s="2250"/>
      <c r="I34" s="2250"/>
      <c r="J34" s="2250"/>
      <c r="K34" s="2250"/>
      <c r="L34" s="2250"/>
      <c r="M34" s="2250">
        <f>+E34</f>
        <v>6148</v>
      </c>
      <c r="O34" s="2230" t="s">
        <v>1500</v>
      </c>
    </row>
    <row r="35" spans="1:15" ht="19.5">
      <c r="A35" s="2257">
        <f t="shared" si="0"/>
        <v>34</v>
      </c>
      <c r="B35" s="2258"/>
      <c r="C35" s="2260" t="s">
        <v>1477</v>
      </c>
      <c r="D35" s="2232"/>
      <c r="E35" s="2250"/>
      <c r="F35" s="2244"/>
      <c r="G35" s="2250"/>
      <c r="H35" s="2250"/>
      <c r="I35" s="2250"/>
      <c r="J35" s="2250"/>
      <c r="K35" s="2250">
        <f t="shared" ref="K35:K48" si="1">E35</f>
        <v>0</v>
      </c>
      <c r="L35" s="2250"/>
      <c r="M35" s="2250"/>
      <c r="O35" s="700"/>
    </row>
    <row r="36" spans="1:15" ht="19.5">
      <c r="A36" s="2257">
        <f t="shared" si="0"/>
        <v>35</v>
      </c>
      <c r="B36" s="2258"/>
      <c r="C36" s="2260" t="s">
        <v>1478</v>
      </c>
      <c r="D36" s="2232"/>
      <c r="E36" s="2250">
        <v>80575</v>
      </c>
      <c r="F36" s="2244"/>
      <c r="G36" s="2250"/>
      <c r="H36" s="2250"/>
      <c r="I36" s="2250"/>
      <c r="J36" s="2250"/>
      <c r="K36" s="2250">
        <f t="shared" si="1"/>
        <v>80575</v>
      </c>
      <c r="L36" s="2250"/>
      <c r="M36" s="2250"/>
      <c r="O36" s="700"/>
    </row>
    <row r="37" spans="1:15" ht="19.5">
      <c r="A37" s="2257">
        <f t="shared" si="0"/>
        <v>36</v>
      </c>
      <c r="B37" s="2258"/>
      <c r="C37" s="2260" t="s">
        <v>1479</v>
      </c>
      <c r="D37" s="2232"/>
      <c r="E37" s="2250">
        <v>164276</v>
      </c>
      <c r="F37" s="2244"/>
      <c r="G37" s="2250"/>
      <c r="H37" s="2250"/>
      <c r="I37" s="2250"/>
      <c r="J37" s="2250"/>
      <c r="K37" s="2250">
        <f t="shared" si="1"/>
        <v>164276</v>
      </c>
      <c r="L37" s="2250"/>
      <c r="M37" s="2250"/>
      <c r="O37" s="700"/>
    </row>
    <row r="38" spans="1:15" ht="19.5">
      <c r="A38" s="2257">
        <f t="shared" si="0"/>
        <v>37</v>
      </c>
      <c r="B38" s="2258"/>
      <c r="C38" s="2260" t="s">
        <v>1480</v>
      </c>
      <c r="D38" s="2232"/>
      <c r="E38" s="2250">
        <v>20100</v>
      </c>
      <c r="F38" s="2244"/>
      <c r="G38" s="2250"/>
      <c r="H38" s="2250"/>
      <c r="I38" s="2250"/>
      <c r="J38" s="2250"/>
      <c r="K38" s="2250">
        <f t="shared" si="1"/>
        <v>20100</v>
      </c>
      <c r="L38" s="2250"/>
      <c r="M38" s="2250"/>
    </row>
    <row r="39" spans="1:15" ht="19.5">
      <c r="A39" s="2257">
        <f t="shared" si="0"/>
        <v>38</v>
      </c>
      <c r="B39" s="2258"/>
      <c r="C39" s="2260" t="s">
        <v>1481</v>
      </c>
      <c r="D39" s="2232"/>
      <c r="E39" s="2250">
        <v>10</v>
      </c>
      <c r="F39" s="2244"/>
      <c r="G39" s="2250"/>
      <c r="H39" s="2250"/>
      <c r="I39" s="2250"/>
      <c r="J39" s="2250"/>
      <c r="K39" s="2250">
        <f t="shared" si="1"/>
        <v>10</v>
      </c>
      <c r="L39" s="2250"/>
      <c r="M39" s="2250"/>
    </row>
    <row r="40" spans="1:15" ht="19.5">
      <c r="A40" s="2257">
        <f t="shared" si="0"/>
        <v>39</v>
      </c>
      <c r="B40" s="2258"/>
      <c r="C40" s="2260" t="s">
        <v>1482</v>
      </c>
      <c r="D40" s="2232"/>
      <c r="E40" s="2250">
        <v>188</v>
      </c>
      <c r="F40" s="2244"/>
      <c r="G40" s="2250"/>
      <c r="H40" s="2250"/>
      <c r="I40" s="2250"/>
      <c r="J40" s="2250"/>
      <c r="K40" s="2250">
        <f t="shared" si="1"/>
        <v>188</v>
      </c>
      <c r="L40" s="2250"/>
      <c r="M40" s="2250"/>
    </row>
    <row r="41" spans="1:15" ht="19.5">
      <c r="A41" s="2257">
        <f t="shared" si="0"/>
        <v>40</v>
      </c>
      <c r="B41" s="2258"/>
      <c r="C41" s="2260" t="s">
        <v>1483</v>
      </c>
      <c r="D41" s="2232"/>
      <c r="E41" s="2250">
        <v>17060</v>
      </c>
      <c r="F41" s="2244"/>
      <c r="G41" s="2250"/>
      <c r="H41" s="2250"/>
      <c r="I41" s="2250"/>
      <c r="J41" s="2250"/>
      <c r="K41" s="2250">
        <f t="shared" si="1"/>
        <v>17060</v>
      </c>
      <c r="L41" s="2250"/>
      <c r="M41" s="2250"/>
      <c r="O41" s="700"/>
    </row>
    <row r="42" spans="1:15" ht="19.5">
      <c r="A42" s="2257">
        <f t="shared" si="0"/>
        <v>41</v>
      </c>
      <c r="B42" s="2232"/>
      <c r="C42" s="2260" t="s">
        <v>1484</v>
      </c>
      <c r="D42" s="2232"/>
      <c r="E42" s="2250">
        <v>14575</v>
      </c>
      <c r="F42" s="2244"/>
      <c r="G42" s="2250"/>
      <c r="H42" s="2250"/>
      <c r="I42" s="2250"/>
      <c r="J42" s="2250"/>
      <c r="K42" s="2250">
        <f t="shared" si="1"/>
        <v>14575</v>
      </c>
      <c r="L42" s="2250"/>
      <c r="M42" s="2250"/>
      <c r="O42" s="700"/>
    </row>
    <row r="43" spans="1:15" ht="19.5">
      <c r="A43" s="2257">
        <f t="shared" si="0"/>
        <v>42</v>
      </c>
      <c r="B43" s="2232"/>
      <c r="C43" s="2260" t="s">
        <v>1477</v>
      </c>
      <c r="D43" s="2232"/>
      <c r="E43" s="2250">
        <v>3829584</v>
      </c>
      <c r="F43" s="2244"/>
      <c r="G43" s="2250"/>
      <c r="H43" s="2250"/>
      <c r="I43" s="2250"/>
      <c r="J43" s="2250"/>
      <c r="K43" s="2250">
        <f t="shared" si="1"/>
        <v>3829584</v>
      </c>
      <c r="L43" s="2250"/>
      <c r="M43" s="2250"/>
      <c r="O43" s="700"/>
    </row>
    <row r="44" spans="1:15" ht="19.5">
      <c r="A44" s="2257">
        <f t="shared" si="0"/>
        <v>43</v>
      </c>
      <c r="B44" s="2232"/>
      <c r="C44" s="2260" t="s">
        <v>1485</v>
      </c>
      <c r="D44" s="2232"/>
      <c r="E44" s="2250"/>
      <c r="F44" s="2244"/>
      <c r="G44" s="2250"/>
      <c r="H44" s="2250"/>
      <c r="I44" s="2250"/>
      <c r="J44" s="2250"/>
      <c r="K44" s="2250">
        <f t="shared" si="1"/>
        <v>0</v>
      </c>
      <c r="L44" s="2250"/>
      <c r="M44" s="2250"/>
      <c r="O44" s="700"/>
    </row>
    <row r="45" spans="1:15" ht="19.5">
      <c r="A45" s="2257">
        <f t="shared" si="0"/>
        <v>44</v>
      </c>
      <c r="B45" s="2232"/>
      <c r="C45" s="2260" t="s">
        <v>1486</v>
      </c>
      <c r="D45" s="2232"/>
      <c r="E45" s="2250">
        <v>9276014</v>
      </c>
      <c r="F45" s="2244"/>
      <c r="G45" s="2250"/>
      <c r="H45" s="2250"/>
      <c r="I45" s="2250"/>
      <c r="J45" s="2250"/>
      <c r="K45" s="2250"/>
      <c r="L45" s="2250"/>
      <c r="M45" s="2250">
        <f t="shared" ref="M45:M52" si="2">+E45</f>
        <v>9276014</v>
      </c>
      <c r="O45" s="700"/>
    </row>
    <row r="46" spans="1:15" ht="19.5">
      <c r="A46" s="2257">
        <f t="shared" si="0"/>
        <v>45</v>
      </c>
      <c r="B46" s="2232"/>
      <c r="C46" s="2260" t="s">
        <v>1487</v>
      </c>
      <c r="D46" s="2232"/>
      <c r="E46" s="2250"/>
      <c r="F46" s="2244"/>
      <c r="G46" s="2250"/>
      <c r="H46" s="2250"/>
      <c r="I46" s="2250"/>
      <c r="J46" s="2250"/>
      <c r="K46" s="2250"/>
      <c r="L46" s="2250"/>
      <c r="M46" s="2250">
        <f t="shared" si="2"/>
        <v>0</v>
      </c>
      <c r="O46" s="700"/>
    </row>
    <row r="47" spans="1:15" ht="19.5">
      <c r="A47" s="2257">
        <f t="shared" si="0"/>
        <v>46</v>
      </c>
      <c r="B47" s="2232"/>
      <c r="C47" s="2260" t="s">
        <v>1488</v>
      </c>
      <c r="D47" s="2232"/>
      <c r="E47" s="2250">
        <v>8933952</v>
      </c>
      <c r="F47" s="2244"/>
      <c r="G47" s="2250"/>
      <c r="H47" s="2250"/>
      <c r="I47" s="2250"/>
      <c r="J47" s="2250"/>
      <c r="K47" s="2250"/>
      <c r="L47" s="2250"/>
      <c r="M47" s="2250">
        <f t="shared" si="2"/>
        <v>8933952</v>
      </c>
      <c r="O47" s="700"/>
    </row>
    <row r="48" spans="1:15" ht="19.5">
      <c r="A48" s="2257">
        <f t="shared" si="0"/>
        <v>47</v>
      </c>
      <c r="B48" s="2232"/>
      <c r="C48" s="2260" t="s">
        <v>1489</v>
      </c>
      <c r="D48" s="2232"/>
      <c r="E48" s="2250">
        <f>32+28</f>
        <v>60</v>
      </c>
      <c r="F48" s="2244"/>
      <c r="G48" s="2250"/>
      <c r="H48" s="2250"/>
      <c r="I48" s="2250"/>
      <c r="J48" s="2250"/>
      <c r="K48" s="2250">
        <f t="shared" si="1"/>
        <v>60</v>
      </c>
      <c r="L48" s="2250"/>
      <c r="M48" s="2250"/>
      <c r="O48" s="700"/>
    </row>
    <row r="49" spans="1:15" ht="19.5">
      <c r="A49" s="2257">
        <f t="shared" si="0"/>
        <v>48</v>
      </c>
      <c r="B49" s="2232"/>
      <c r="C49" s="2260" t="s">
        <v>1490</v>
      </c>
      <c r="D49" s="2232"/>
      <c r="E49" s="2250">
        <f>213.4+24</f>
        <v>237.4</v>
      </c>
      <c r="F49" s="2244"/>
      <c r="G49" s="2250"/>
      <c r="H49" s="2250"/>
      <c r="I49" s="2250"/>
      <c r="J49" s="2250"/>
      <c r="K49" s="2250"/>
      <c r="L49" s="2250"/>
      <c r="M49" s="2250">
        <f t="shared" si="2"/>
        <v>237.4</v>
      </c>
      <c r="O49" s="700"/>
    </row>
    <row r="50" spans="1:15" ht="19.5">
      <c r="A50" s="2257">
        <f t="shared" si="0"/>
        <v>49</v>
      </c>
      <c r="B50" s="2232"/>
      <c r="C50" s="2260" t="s">
        <v>1491</v>
      </c>
      <c r="D50" s="2232"/>
      <c r="E50" s="2250"/>
      <c r="F50" s="2244"/>
      <c r="G50" s="2250"/>
      <c r="H50" s="2250"/>
      <c r="I50" s="2250"/>
      <c r="J50" s="2250"/>
      <c r="K50" s="2250"/>
      <c r="L50" s="2250"/>
      <c r="M50" s="2250">
        <f t="shared" si="2"/>
        <v>0</v>
      </c>
      <c r="O50" s="700"/>
    </row>
    <row r="51" spans="1:15" ht="19.5">
      <c r="A51" s="2257">
        <f t="shared" si="0"/>
        <v>50</v>
      </c>
      <c r="B51" s="2232"/>
      <c r="C51" s="2260" t="s">
        <v>1492</v>
      </c>
      <c r="D51" s="2232"/>
      <c r="E51" s="2250">
        <v>1</v>
      </c>
      <c r="F51" s="2244"/>
      <c r="G51" s="2250"/>
      <c r="H51" s="2250"/>
      <c r="I51" s="2250"/>
      <c r="J51" s="2250"/>
      <c r="K51" s="2250"/>
      <c r="L51" s="2250"/>
      <c r="M51" s="2250">
        <f t="shared" si="2"/>
        <v>1</v>
      </c>
      <c r="O51" s="700"/>
    </row>
    <row r="52" spans="1:15" ht="19.5">
      <c r="A52" s="2257">
        <f t="shared" si="0"/>
        <v>51</v>
      </c>
      <c r="B52" s="2232"/>
      <c r="C52" s="2260" t="s">
        <v>1493</v>
      </c>
      <c r="D52" s="2232"/>
      <c r="E52" s="2250">
        <f>185277.4+564.4-311499.5</f>
        <v>-125657.70000000001</v>
      </c>
      <c r="F52" s="2244"/>
      <c r="G52" s="2250"/>
      <c r="H52" s="2250"/>
      <c r="I52" s="2250"/>
      <c r="J52" s="2250"/>
      <c r="K52" s="2250"/>
      <c r="L52" s="2250"/>
      <c r="M52" s="2250">
        <f t="shared" si="2"/>
        <v>-125657.70000000001</v>
      </c>
      <c r="O52" s="700"/>
    </row>
    <row r="53" spans="1:15" ht="19.5">
      <c r="A53" s="2257">
        <f t="shared" si="0"/>
        <v>52</v>
      </c>
      <c r="B53" s="2232"/>
      <c r="C53" s="2260" t="s">
        <v>1494</v>
      </c>
      <c r="D53" s="2232"/>
      <c r="E53" s="2250">
        <f>492168+467244</f>
        <v>959412</v>
      </c>
      <c r="F53" s="2244"/>
      <c r="G53" s="2250"/>
      <c r="H53" s="2250"/>
      <c r="I53" s="2250"/>
      <c r="J53" s="2250"/>
      <c r="K53" s="2250">
        <f t="shared" ref="K53:K58" si="3">+E53</f>
        <v>959412</v>
      </c>
      <c r="L53" s="2250"/>
      <c r="M53" s="2250"/>
      <c r="O53" s="700"/>
    </row>
    <row r="54" spans="1:15" ht="19.5">
      <c r="A54" s="2231">
        <f t="shared" si="0"/>
        <v>53</v>
      </c>
      <c r="B54" s="2232"/>
      <c r="C54" s="2260" t="s">
        <v>1495</v>
      </c>
      <c r="D54" s="2232"/>
      <c r="E54" s="2250">
        <f>12799+516047+80475</f>
        <v>609321</v>
      </c>
      <c r="F54" s="2244"/>
      <c r="G54" s="2250"/>
      <c r="H54" s="2250"/>
      <c r="I54" s="2250"/>
      <c r="J54" s="2250"/>
      <c r="K54" s="2250">
        <f t="shared" si="3"/>
        <v>609321</v>
      </c>
      <c r="L54" s="2250"/>
      <c r="M54" s="2250"/>
      <c r="O54" s="700"/>
    </row>
    <row r="55" spans="1:15" ht="19.5">
      <c r="A55" s="2231">
        <f t="shared" si="0"/>
        <v>54</v>
      </c>
      <c r="B55" s="2232"/>
      <c r="C55" s="2260" t="s">
        <v>1496</v>
      </c>
      <c r="D55" s="2232"/>
      <c r="E55" s="2250">
        <v>35</v>
      </c>
      <c r="F55" s="2244"/>
      <c r="G55" s="2250"/>
      <c r="H55" s="2250"/>
      <c r="I55" s="2250"/>
      <c r="J55" s="2250"/>
      <c r="K55" s="2250">
        <f t="shared" si="3"/>
        <v>35</v>
      </c>
      <c r="L55" s="2250"/>
      <c r="M55" s="2250"/>
      <c r="O55" s="700"/>
    </row>
    <row r="56" spans="1:15" ht="19.5">
      <c r="A56" s="2231">
        <f t="shared" si="0"/>
        <v>55</v>
      </c>
      <c r="B56" s="2244"/>
      <c r="C56" s="2250" t="s">
        <v>1497</v>
      </c>
      <c r="D56" s="2232"/>
      <c r="E56" s="2250"/>
      <c r="F56" s="2244"/>
      <c r="G56" s="2250"/>
      <c r="H56" s="2250"/>
      <c r="I56" s="2250"/>
      <c r="J56" s="2250"/>
      <c r="K56" s="2250">
        <f t="shared" si="3"/>
        <v>0</v>
      </c>
      <c r="L56" s="2250"/>
      <c r="M56" s="2250"/>
      <c r="O56" s="700"/>
    </row>
    <row r="57" spans="1:15" ht="19.5">
      <c r="A57" s="2231">
        <f t="shared" si="0"/>
        <v>56</v>
      </c>
      <c r="B57" s="2244"/>
      <c r="C57" s="2255" t="s">
        <v>1498</v>
      </c>
      <c r="D57" s="2261"/>
      <c r="E57" s="2255">
        <f>313752+294000</f>
        <v>607752</v>
      </c>
      <c r="F57" s="2247"/>
      <c r="G57" s="2250"/>
      <c r="H57" s="2250"/>
      <c r="I57" s="2250"/>
      <c r="J57" s="2250"/>
      <c r="K57" s="2250">
        <f t="shared" si="3"/>
        <v>607752</v>
      </c>
      <c r="L57" s="2250"/>
      <c r="M57" s="2256"/>
      <c r="O57" s="700"/>
    </row>
    <row r="58" spans="1:15" ht="19.5">
      <c r="A58" s="2231">
        <f t="shared" si="0"/>
        <v>57</v>
      </c>
      <c r="B58" s="2244"/>
      <c r="C58" s="2250" t="s">
        <v>1499</v>
      </c>
      <c r="D58" s="2232"/>
      <c r="E58" s="2250"/>
      <c r="F58" s="2244"/>
      <c r="G58" s="2250"/>
      <c r="H58" s="2250"/>
      <c r="I58" s="2250"/>
      <c r="J58" s="2250"/>
      <c r="K58" s="2250">
        <f t="shared" si="3"/>
        <v>0</v>
      </c>
      <c r="L58" s="2250"/>
      <c r="M58" s="2250"/>
    </row>
    <row r="59" spans="1:15" ht="19.5">
      <c r="A59" s="791"/>
      <c r="B59" s="791"/>
      <c r="C59" s="791"/>
      <c r="D59" s="791"/>
      <c r="E59" s="791"/>
      <c r="F59" s="2244"/>
      <c r="H59" s="2262"/>
      <c r="I59" s="2263"/>
      <c r="J59" s="2263"/>
      <c r="K59" s="2264"/>
      <c r="L59" s="2265"/>
      <c r="M59" s="2265"/>
    </row>
    <row r="60" spans="1:15" ht="20.25" thickBot="1">
      <c r="A60" s="2257">
        <f>+A58+1</f>
        <v>58</v>
      </c>
      <c r="B60" s="791"/>
      <c r="C60" s="2244" t="s">
        <v>395</v>
      </c>
      <c r="D60" s="791"/>
      <c r="E60" s="2266">
        <f>SUM(E16:E58)</f>
        <v>99589059.700000003</v>
      </c>
      <c r="F60" s="2244"/>
      <c r="G60" s="2266">
        <f>SUM(G16:G58)</f>
        <v>61348726</v>
      </c>
      <c r="H60" s="2262"/>
      <c r="I60" s="2266">
        <f>SUM(I16:I58)</f>
        <v>7152850</v>
      </c>
      <c r="J60" s="2263"/>
      <c r="K60" s="2266">
        <f>SUM(K16:K58)</f>
        <v>6302948</v>
      </c>
      <c r="L60" s="2265"/>
      <c r="M60" s="2266">
        <f>SUM(M16:M58)</f>
        <v>24784535.699999999</v>
      </c>
    </row>
    <row r="61" spans="1:15" ht="30" customHeight="1" thickTop="1">
      <c r="A61" s="791"/>
      <c r="B61" s="791"/>
      <c r="C61" s="2267" t="s">
        <v>142</v>
      </c>
      <c r="D61" s="2268"/>
      <c r="E61" s="2269">
        <v>99589060</v>
      </c>
      <c r="F61" s="2267"/>
      <c r="G61" s="2270"/>
      <c r="H61" s="2270"/>
      <c r="J61" s="2271"/>
      <c r="K61" s="2272"/>
      <c r="L61" s="2272"/>
      <c r="M61" s="2273" t="str">
        <f>IF(SUM(G60:M60)=E60,"","Error - allocations don’t match total")</f>
        <v/>
      </c>
    </row>
    <row r="63" spans="1:15">
      <c r="C63" s="2275" t="str">
        <f>"NOTE:  As a check, the difference between the total from Ln "&amp;A60&amp;" above and the total on FF1 p.263 line 41(i)"</f>
        <v>NOTE:  As a check, the difference between the total from Ln 58 above and the total on FF1 p.263 line 41(i)</v>
      </c>
    </row>
    <row r="64" spans="1:15">
      <c r="C64" s="2275" t="s">
        <v>118</v>
      </c>
    </row>
    <row r="66" spans="9:9">
      <c r="I66" s="2229"/>
    </row>
    <row r="194" spans="7:7" ht="13.5" thickBot="1"/>
    <row r="195" spans="7:7" ht="20.25" thickBot="1">
      <c r="G195" s="2276"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24"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69"/>
  <sheetViews>
    <sheetView zoomScale="70" zoomScaleNormal="70" zoomScalePageLayoutView="80" workbookViewId="0">
      <selection activeCell="I42" sqref="H42:I42"/>
    </sheetView>
  </sheetViews>
  <sheetFormatPr defaultColWidth="9.140625" defaultRowHeight="12.75"/>
  <cols>
    <col min="1" max="1" width="8" style="205" customWidth="1"/>
    <col min="2" max="2" width="5.85546875" style="206" customWidth="1"/>
    <col min="3" max="3" width="4.85546875" style="206" customWidth="1"/>
    <col min="4" max="4" width="44.42578125" style="206" customWidth="1"/>
    <col min="5" max="5" width="14.42578125" style="206" customWidth="1"/>
    <col min="6" max="7" width="11.28515625" style="206" customWidth="1"/>
    <col min="8" max="8" width="10.85546875" style="206" customWidth="1"/>
    <col min="9" max="9" width="11.85546875" style="206" customWidth="1"/>
    <col min="10" max="10" width="11.140625" style="206" customWidth="1"/>
    <col min="11" max="11" width="11.28515625" style="206" customWidth="1"/>
    <col min="12" max="12" width="11.140625" style="206" customWidth="1"/>
    <col min="13" max="13" width="12.5703125" style="206" customWidth="1"/>
    <col min="14" max="14" width="11.85546875" style="206" customWidth="1"/>
    <col min="15" max="15" width="11.5703125" style="206" customWidth="1"/>
    <col min="16" max="16" width="12.28515625" style="206" customWidth="1"/>
    <col min="17" max="17" width="11.7109375" style="206" customWidth="1"/>
    <col min="18" max="18" width="18.140625" style="208" customWidth="1"/>
    <col min="19" max="16384" width="9.140625" style="206"/>
  </cols>
  <sheetData>
    <row r="1" spans="1:19" ht="15">
      <c r="A1" s="289"/>
    </row>
    <row r="2" spans="1:19">
      <c r="A2" s="206"/>
      <c r="B2" s="207" t="s">
        <v>1381</v>
      </c>
      <c r="C2" s="207"/>
      <c r="D2" s="207"/>
      <c r="E2" s="207"/>
      <c r="F2" s="207"/>
      <c r="G2" s="207"/>
      <c r="H2" s="207"/>
      <c r="I2" s="207"/>
      <c r="J2" s="207"/>
      <c r="K2" s="207"/>
      <c r="L2" s="207"/>
      <c r="M2" s="207"/>
      <c r="N2" s="207"/>
      <c r="O2" s="207"/>
      <c r="P2" s="207"/>
      <c r="Q2" s="207"/>
    </row>
    <row r="3" spans="1:19">
      <c r="A3" s="206"/>
      <c r="B3" s="207" t="str">
        <f>"Network Load for January Through December 2018"</f>
        <v>Network Load for January Through December 2018</v>
      </c>
      <c r="C3" s="207"/>
      <c r="D3" s="207"/>
      <c r="E3" s="207"/>
      <c r="F3" s="207"/>
      <c r="G3" s="207"/>
      <c r="H3" s="207"/>
      <c r="I3" s="207"/>
      <c r="J3" s="207"/>
      <c r="K3" s="207"/>
      <c r="L3" s="207"/>
      <c r="M3" s="207"/>
      <c r="N3" s="207"/>
      <c r="O3" s="207"/>
      <c r="P3" s="207"/>
      <c r="Q3" s="207"/>
    </row>
    <row r="4" spans="1:19">
      <c r="A4" s="206"/>
      <c r="B4" s="209" t="s">
        <v>1390</v>
      </c>
      <c r="C4" s="210"/>
      <c r="D4" s="210"/>
      <c r="E4" s="210"/>
      <c r="F4" s="210"/>
      <c r="G4" s="210"/>
      <c r="H4" s="210"/>
      <c r="I4" s="210"/>
      <c r="J4" s="210"/>
      <c r="K4" s="210"/>
      <c r="L4" s="210"/>
      <c r="M4" s="210"/>
      <c r="N4" s="210"/>
      <c r="O4" s="210"/>
      <c r="P4" s="210"/>
      <c r="Q4" s="210"/>
    </row>
    <row r="5" spans="1:19">
      <c r="A5" s="206"/>
      <c r="B5" s="207"/>
      <c r="C5" s="210"/>
      <c r="D5" s="210"/>
      <c r="E5" s="210"/>
      <c r="F5" s="210"/>
      <c r="G5" s="210"/>
      <c r="H5" s="210"/>
      <c r="I5" s="210"/>
      <c r="J5" s="210"/>
      <c r="K5" s="210"/>
      <c r="L5" s="210"/>
      <c r="M5" s="210"/>
      <c r="N5" s="210"/>
      <c r="O5" s="210"/>
      <c r="P5" s="210"/>
      <c r="Q5" s="210"/>
    </row>
    <row r="6" spans="1:19" ht="14.25" customHeight="1">
      <c r="A6" s="206"/>
      <c r="B6" s="211" t="s">
        <v>601</v>
      </c>
      <c r="C6" s="210"/>
      <c r="D6" s="210"/>
      <c r="E6" s="210"/>
      <c r="F6" s="210"/>
      <c r="G6" s="210"/>
      <c r="H6" s="210"/>
      <c r="I6" s="210"/>
      <c r="J6" s="210"/>
      <c r="K6" s="210"/>
      <c r="L6" s="210"/>
      <c r="M6" s="210"/>
      <c r="N6" s="210"/>
      <c r="O6" s="210"/>
      <c r="P6" s="210"/>
      <c r="Q6" s="210"/>
    </row>
    <row r="7" spans="1:19" ht="14.25" customHeight="1">
      <c r="A7" s="206"/>
      <c r="B7" s="211"/>
      <c r="C7" s="210"/>
      <c r="D7" s="210"/>
      <c r="E7" s="210"/>
      <c r="F7" s="210"/>
      <c r="G7" s="210"/>
      <c r="H7" s="210"/>
      <c r="I7" s="210"/>
      <c r="J7" s="210"/>
      <c r="K7" s="210"/>
      <c r="L7" s="210"/>
      <c r="M7" s="210"/>
      <c r="N7" s="210"/>
      <c r="O7" s="210"/>
      <c r="P7" s="210"/>
      <c r="Q7" s="210"/>
    </row>
    <row r="8" spans="1:19" ht="11.45" customHeight="1">
      <c r="B8" s="212"/>
      <c r="C8" s="213" t="s">
        <v>582</v>
      </c>
      <c r="D8" s="212"/>
      <c r="E8" s="212"/>
      <c r="F8" s="212"/>
      <c r="G8" s="212"/>
      <c r="H8" s="212"/>
      <c r="I8" s="212"/>
      <c r="J8" s="212"/>
      <c r="K8" s="212"/>
      <c r="L8" s="212"/>
      <c r="M8" s="212"/>
      <c r="N8" s="212"/>
      <c r="O8" s="212"/>
      <c r="P8" s="212"/>
      <c r="Q8" s="212"/>
    </row>
    <row r="9" spans="1:19" ht="11.45" customHeight="1">
      <c r="B9" s="212"/>
      <c r="C9" s="213"/>
      <c r="D9" s="212"/>
      <c r="E9" s="214" t="s">
        <v>324</v>
      </c>
      <c r="F9" s="214" t="s">
        <v>517</v>
      </c>
      <c r="G9" s="214" t="s">
        <v>325</v>
      </c>
      <c r="H9" s="214" t="s">
        <v>326</v>
      </c>
      <c r="I9" s="214" t="s">
        <v>327</v>
      </c>
      <c r="J9" s="214" t="s">
        <v>48</v>
      </c>
      <c r="K9" s="214" t="s">
        <v>328</v>
      </c>
      <c r="L9" s="214" t="s">
        <v>329</v>
      </c>
      <c r="M9" s="214" t="s">
        <v>331</v>
      </c>
      <c r="N9" s="214" t="s">
        <v>518</v>
      </c>
      <c r="O9" s="214" t="s">
        <v>519</v>
      </c>
      <c r="P9" s="214" t="s">
        <v>330</v>
      </c>
      <c r="R9" s="208" t="s">
        <v>256</v>
      </c>
    </row>
    <row r="10" spans="1:19" ht="11.45" customHeight="1">
      <c r="C10" s="205"/>
      <c r="D10" s="215" t="s">
        <v>572</v>
      </c>
      <c r="E10" s="216">
        <v>43117</v>
      </c>
      <c r="F10" s="216">
        <v>43143</v>
      </c>
      <c r="G10" s="216">
        <v>43167</v>
      </c>
      <c r="H10" s="216">
        <v>43220</v>
      </c>
      <c r="I10" s="216">
        <v>43250</v>
      </c>
      <c r="J10" s="216">
        <v>43279</v>
      </c>
      <c r="K10" s="216">
        <v>43301</v>
      </c>
      <c r="L10" s="216">
        <v>43339</v>
      </c>
      <c r="M10" s="216">
        <v>43362</v>
      </c>
      <c r="N10" s="216">
        <v>43376</v>
      </c>
      <c r="O10" s="216">
        <v>43419</v>
      </c>
      <c r="P10" s="216">
        <v>43444</v>
      </c>
      <c r="R10" s="206"/>
      <c r="S10" s="217" t="s">
        <v>573</v>
      </c>
    </row>
    <row r="11" spans="1:19" ht="11.45" customHeight="1">
      <c r="A11" s="218" t="s">
        <v>574</v>
      </c>
      <c r="C11" s="205"/>
      <c r="D11" s="215" t="s">
        <v>575</v>
      </c>
      <c r="E11" s="219">
        <v>800</v>
      </c>
      <c r="F11" s="219">
        <v>800</v>
      </c>
      <c r="G11" s="219">
        <v>800</v>
      </c>
      <c r="H11" s="219">
        <v>1700</v>
      </c>
      <c r="I11" s="219">
        <v>1700</v>
      </c>
      <c r="J11" s="219">
        <v>1700</v>
      </c>
      <c r="K11" s="219">
        <v>1700</v>
      </c>
      <c r="L11" s="219">
        <v>1700</v>
      </c>
      <c r="M11" s="219">
        <v>1600</v>
      </c>
      <c r="N11" s="219">
        <v>1700</v>
      </c>
      <c r="O11" s="219">
        <v>800</v>
      </c>
      <c r="P11" s="219">
        <v>800</v>
      </c>
      <c r="R11" s="206"/>
      <c r="S11" s="217" t="s">
        <v>182</v>
      </c>
    </row>
    <row r="12" spans="1:19" ht="11.45" customHeight="1">
      <c r="A12" s="218"/>
      <c r="C12" s="205"/>
      <c r="D12" s="215"/>
      <c r="E12" s="203"/>
      <c r="F12" s="203" t="s">
        <v>256</v>
      </c>
      <c r="G12" s="203"/>
      <c r="H12" s="203"/>
      <c r="I12" s="203"/>
      <c r="J12" s="203"/>
      <c r="K12" s="203"/>
      <c r="L12" s="203"/>
      <c r="M12" s="203"/>
      <c r="N12" s="203"/>
      <c r="O12" s="203"/>
      <c r="P12" s="203"/>
      <c r="Q12" s="217"/>
      <c r="S12" s="217" t="s">
        <v>126</v>
      </c>
    </row>
    <row r="13" spans="1:19" ht="11.45" customHeight="1" thickBot="1">
      <c r="A13" s="205" t="s">
        <v>259</v>
      </c>
      <c r="B13" s="220" t="s">
        <v>576</v>
      </c>
      <c r="C13" s="221"/>
      <c r="D13" s="221"/>
      <c r="E13" s="205"/>
      <c r="F13" s="205"/>
      <c r="G13" s="205"/>
      <c r="H13" s="205"/>
      <c r="I13" s="205"/>
      <c r="J13" s="205"/>
      <c r="K13" s="205"/>
      <c r="L13" s="205"/>
      <c r="M13" s="205"/>
      <c r="N13" s="205"/>
      <c r="O13" s="205"/>
      <c r="P13" s="205"/>
      <c r="Q13" s="205"/>
      <c r="S13" s="208"/>
    </row>
    <row r="14" spans="1:19" s="222" customFormat="1" ht="11.45" customHeight="1">
      <c r="A14" s="205">
        <v>1</v>
      </c>
      <c r="C14" s="263" t="s">
        <v>913</v>
      </c>
      <c r="D14" s="262"/>
      <c r="E14" s="757">
        <v>3179</v>
      </c>
      <c r="F14" s="757">
        <v>2790</v>
      </c>
      <c r="G14" s="757">
        <v>2269</v>
      </c>
      <c r="H14" s="757">
        <v>2377</v>
      </c>
      <c r="I14" s="757">
        <v>3597</v>
      </c>
      <c r="J14" s="757">
        <v>3911</v>
      </c>
      <c r="K14" s="757">
        <v>4095</v>
      </c>
      <c r="L14" s="757">
        <v>3816</v>
      </c>
      <c r="M14" s="757">
        <v>3735</v>
      </c>
      <c r="N14" s="757">
        <v>3357</v>
      </c>
      <c r="O14" s="757">
        <v>2564</v>
      </c>
      <c r="P14" s="757">
        <v>2578</v>
      </c>
      <c r="Q14" s="758">
        <f>ROUND(SUM(E14:P14)/12,1)</f>
        <v>3189</v>
      </c>
      <c r="R14" s="759">
        <f t="shared" ref="R14:R31" si="0">+Q14/Q$33</f>
        <v>0.37328443087487928</v>
      </c>
      <c r="S14" s="760">
        <f t="shared" ref="S14:S31" si="1">ROUND(Q14,0)</f>
        <v>3189</v>
      </c>
    </row>
    <row r="15" spans="1:19" s="222" customFormat="1" ht="11.45" customHeight="1">
      <c r="A15" s="205">
        <f>+A14+1</f>
        <v>2</v>
      </c>
      <c r="C15" s="263" t="s">
        <v>914</v>
      </c>
      <c r="D15" s="262"/>
      <c r="E15" s="757">
        <v>3410</v>
      </c>
      <c r="F15" s="757">
        <v>2792</v>
      </c>
      <c r="G15" s="757">
        <v>2328</v>
      </c>
      <c r="H15" s="757">
        <v>2312</v>
      </c>
      <c r="I15" s="757">
        <v>3370</v>
      </c>
      <c r="J15" s="757">
        <v>3563</v>
      </c>
      <c r="K15" s="757">
        <v>3686</v>
      </c>
      <c r="L15" s="757">
        <v>3463</v>
      </c>
      <c r="M15" s="757">
        <v>3456</v>
      </c>
      <c r="N15" s="757">
        <v>3155</v>
      </c>
      <c r="O15" s="757">
        <v>2908</v>
      </c>
      <c r="P15" s="757">
        <v>2872</v>
      </c>
      <c r="Q15" s="758">
        <f t="shared" ref="Q15:Q31" si="2">ROUND(SUM(E15:P15)/12,1)</f>
        <v>3109.6</v>
      </c>
      <c r="R15" s="759">
        <f t="shared" si="0"/>
        <v>0.36399036257401207</v>
      </c>
      <c r="S15" s="760">
        <f t="shared" si="1"/>
        <v>3110</v>
      </c>
    </row>
    <row r="16" spans="1:19" s="222" customFormat="1" ht="11.45" customHeight="1">
      <c r="A16" s="205">
        <f t="shared" ref="A16:A33" si="3">+A15+1</f>
        <v>3</v>
      </c>
      <c r="C16" s="263" t="s">
        <v>915</v>
      </c>
      <c r="D16" s="262"/>
      <c r="E16" s="757">
        <v>776</v>
      </c>
      <c r="F16" s="757">
        <v>589</v>
      </c>
      <c r="G16" s="757">
        <v>486</v>
      </c>
      <c r="H16" s="757">
        <v>347</v>
      </c>
      <c r="I16" s="757">
        <v>611</v>
      </c>
      <c r="J16" s="757">
        <v>683</v>
      </c>
      <c r="K16" s="757">
        <v>731</v>
      </c>
      <c r="L16" s="757">
        <v>634</v>
      </c>
      <c r="M16" s="757">
        <v>629</v>
      </c>
      <c r="N16" s="757">
        <v>542</v>
      </c>
      <c r="O16" s="757">
        <v>569</v>
      </c>
      <c r="P16" s="757">
        <v>566</v>
      </c>
      <c r="Q16" s="758">
        <f t="shared" si="2"/>
        <v>596.9</v>
      </c>
      <c r="R16" s="759">
        <f t="shared" si="0"/>
        <v>6.986938751621681E-2</v>
      </c>
      <c r="S16" s="760">
        <f t="shared" si="1"/>
        <v>597</v>
      </c>
    </row>
    <row r="17" spans="1:19" s="222" customFormat="1" ht="11.45" customHeight="1">
      <c r="A17" s="205">
        <f t="shared" si="3"/>
        <v>4</v>
      </c>
      <c r="C17" s="263" t="s">
        <v>916</v>
      </c>
      <c r="D17" s="262"/>
      <c r="E17" s="757">
        <v>175</v>
      </c>
      <c r="F17" s="757">
        <v>135</v>
      </c>
      <c r="G17" s="757">
        <v>117</v>
      </c>
      <c r="H17" s="757">
        <v>98</v>
      </c>
      <c r="I17" s="757">
        <v>173</v>
      </c>
      <c r="J17" s="757">
        <v>187</v>
      </c>
      <c r="K17" s="757">
        <v>202</v>
      </c>
      <c r="L17" s="757">
        <v>181</v>
      </c>
      <c r="M17" s="757">
        <v>172</v>
      </c>
      <c r="N17" s="757">
        <v>141</v>
      </c>
      <c r="O17" s="757">
        <v>131</v>
      </c>
      <c r="P17" s="757">
        <v>131</v>
      </c>
      <c r="Q17" s="758">
        <f t="shared" si="2"/>
        <v>153.6</v>
      </c>
      <c r="R17" s="759">
        <f t="shared" si="0"/>
        <v>1.79794570656574E-2</v>
      </c>
      <c r="S17" s="760">
        <f t="shared" si="1"/>
        <v>154</v>
      </c>
    </row>
    <row r="18" spans="1:19" s="222" customFormat="1" ht="11.45" customHeight="1">
      <c r="A18" s="205">
        <f t="shared" si="3"/>
        <v>5</v>
      </c>
      <c r="C18" s="263" t="s">
        <v>917</v>
      </c>
      <c r="D18" s="262"/>
      <c r="E18" s="757">
        <v>47</v>
      </c>
      <c r="F18" s="757">
        <v>41</v>
      </c>
      <c r="G18" s="757">
        <v>34</v>
      </c>
      <c r="H18" s="757">
        <v>23</v>
      </c>
      <c r="I18" s="757">
        <v>36</v>
      </c>
      <c r="J18" s="757">
        <v>38</v>
      </c>
      <c r="K18" s="757">
        <v>42</v>
      </c>
      <c r="L18" s="757">
        <v>37</v>
      </c>
      <c r="M18" s="757">
        <v>36</v>
      </c>
      <c r="N18" s="757">
        <v>33</v>
      </c>
      <c r="O18" s="757">
        <v>36</v>
      </c>
      <c r="P18" s="757">
        <v>38</v>
      </c>
      <c r="Q18" s="758">
        <f t="shared" si="2"/>
        <v>36.799999999999997</v>
      </c>
      <c r="R18" s="759">
        <f t="shared" si="0"/>
        <v>4.3075782553137522E-3</v>
      </c>
      <c r="S18" s="760">
        <f t="shared" si="1"/>
        <v>37</v>
      </c>
    </row>
    <row r="19" spans="1:19" s="222" customFormat="1" ht="11.45" customHeight="1">
      <c r="A19" s="205">
        <f t="shared" si="3"/>
        <v>6</v>
      </c>
      <c r="C19" s="263" t="s">
        <v>918</v>
      </c>
      <c r="D19" s="262"/>
      <c r="E19" s="757">
        <v>99</v>
      </c>
      <c r="F19" s="757">
        <v>84</v>
      </c>
      <c r="G19" s="757">
        <v>68</v>
      </c>
      <c r="H19" s="757">
        <v>74</v>
      </c>
      <c r="I19" s="757">
        <v>138</v>
      </c>
      <c r="J19" s="757">
        <v>149</v>
      </c>
      <c r="K19" s="757">
        <v>160</v>
      </c>
      <c r="L19" s="757">
        <v>143</v>
      </c>
      <c r="M19" s="757">
        <v>130</v>
      </c>
      <c r="N19" s="757">
        <v>117</v>
      </c>
      <c r="O19" s="757">
        <v>74</v>
      </c>
      <c r="P19" s="757">
        <v>76</v>
      </c>
      <c r="Q19" s="758">
        <f t="shared" si="2"/>
        <v>109.3</v>
      </c>
      <c r="R19" s="759">
        <f t="shared" si="0"/>
        <v>1.2793975633309597E-2</v>
      </c>
      <c r="S19" s="760">
        <f t="shared" si="1"/>
        <v>109</v>
      </c>
    </row>
    <row r="20" spans="1:19" s="222" customFormat="1" ht="11.45" customHeight="1">
      <c r="A20" s="205">
        <f t="shared" si="3"/>
        <v>7</v>
      </c>
      <c r="C20" s="263" t="s">
        <v>1385</v>
      </c>
      <c r="D20" s="262"/>
      <c r="E20" s="757">
        <v>9</v>
      </c>
      <c r="F20" s="757">
        <v>0</v>
      </c>
      <c r="G20" s="757">
        <v>8</v>
      </c>
      <c r="H20" s="757">
        <v>0</v>
      </c>
      <c r="I20" s="757">
        <v>8</v>
      </c>
      <c r="J20" s="757">
        <v>4</v>
      </c>
      <c r="K20" s="757">
        <v>4</v>
      </c>
      <c r="L20" s="757">
        <v>5</v>
      </c>
      <c r="M20" s="757">
        <v>0</v>
      </c>
      <c r="N20" s="757">
        <v>2</v>
      </c>
      <c r="O20" s="757">
        <v>8</v>
      </c>
      <c r="P20" s="757">
        <v>5</v>
      </c>
      <c r="Q20" s="758">
        <f t="shared" si="2"/>
        <v>4.4000000000000004</v>
      </c>
      <c r="R20" s="759">
        <f t="shared" si="0"/>
        <v>5.1503653052664439E-4</v>
      </c>
      <c r="S20" s="760">
        <f t="shared" si="1"/>
        <v>4</v>
      </c>
    </row>
    <row r="21" spans="1:19" ht="11.45" customHeight="1">
      <c r="A21" s="205">
        <f t="shared" si="3"/>
        <v>8</v>
      </c>
      <c r="C21" s="263" t="s">
        <v>919</v>
      </c>
      <c r="D21" s="262"/>
      <c r="E21" s="757">
        <v>12</v>
      </c>
      <c r="F21" s="757">
        <v>12</v>
      </c>
      <c r="G21" s="757">
        <v>14</v>
      </c>
      <c r="H21" s="757">
        <v>15</v>
      </c>
      <c r="I21" s="757">
        <v>15</v>
      </c>
      <c r="J21" s="757">
        <v>15</v>
      </c>
      <c r="K21" s="757">
        <v>15</v>
      </c>
      <c r="L21" s="757">
        <v>13</v>
      </c>
      <c r="M21" s="757">
        <v>13</v>
      </c>
      <c r="N21" s="757">
        <v>13</v>
      </c>
      <c r="O21" s="757">
        <v>14</v>
      </c>
      <c r="P21" s="757">
        <v>15</v>
      </c>
      <c r="Q21" s="758">
        <f t="shared" si="2"/>
        <v>13.8</v>
      </c>
      <c r="R21" s="759">
        <f t="shared" si="0"/>
        <v>1.6153418457426573E-3</v>
      </c>
      <c r="S21" s="760">
        <f t="shared" si="1"/>
        <v>14</v>
      </c>
    </row>
    <row r="22" spans="1:19" s="222" customFormat="1" ht="11.45" customHeight="1">
      <c r="A22" s="205">
        <f t="shared" si="3"/>
        <v>9</v>
      </c>
      <c r="C22" s="263" t="s">
        <v>920</v>
      </c>
      <c r="D22" s="262"/>
      <c r="E22" s="757">
        <v>1275</v>
      </c>
      <c r="F22" s="757">
        <v>863</v>
      </c>
      <c r="G22" s="757">
        <v>709</v>
      </c>
      <c r="H22" s="757">
        <v>497</v>
      </c>
      <c r="I22" s="757">
        <v>797</v>
      </c>
      <c r="J22" s="757">
        <v>865</v>
      </c>
      <c r="K22" s="757">
        <v>928</v>
      </c>
      <c r="L22" s="757">
        <v>837</v>
      </c>
      <c r="M22" s="757">
        <v>801</v>
      </c>
      <c r="N22" s="757">
        <v>671</v>
      </c>
      <c r="O22" s="757">
        <v>897</v>
      </c>
      <c r="P22" s="757">
        <v>879</v>
      </c>
      <c r="Q22" s="758">
        <f t="shared" si="2"/>
        <v>834.9</v>
      </c>
      <c r="R22" s="759">
        <f t="shared" si="0"/>
        <v>9.7728181667430761E-2</v>
      </c>
      <c r="S22" s="760">
        <f t="shared" si="1"/>
        <v>835</v>
      </c>
    </row>
    <row r="23" spans="1:19" s="222" customFormat="1" ht="11.45" customHeight="1">
      <c r="A23" s="205">
        <f t="shared" si="3"/>
        <v>10</v>
      </c>
      <c r="C23" s="263" t="s">
        <v>921</v>
      </c>
      <c r="D23" s="262"/>
      <c r="E23" s="757">
        <v>9</v>
      </c>
      <c r="F23" s="757">
        <v>7</v>
      </c>
      <c r="G23" s="757">
        <v>6</v>
      </c>
      <c r="H23" s="757">
        <v>8</v>
      </c>
      <c r="I23" s="757">
        <v>11</v>
      </c>
      <c r="J23" s="757">
        <v>14</v>
      </c>
      <c r="K23" s="757">
        <v>18</v>
      </c>
      <c r="L23" s="757">
        <v>15</v>
      </c>
      <c r="M23" s="757">
        <v>7</v>
      </c>
      <c r="N23" s="757">
        <v>7</v>
      </c>
      <c r="O23" s="757">
        <v>7</v>
      </c>
      <c r="P23" s="757">
        <v>7</v>
      </c>
      <c r="Q23" s="758">
        <f t="shared" si="2"/>
        <v>9.6999999999999993</v>
      </c>
      <c r="R23" s="759">
        <f t="shared" si="0"/>
        <v>1.1354214422973749E-3</v>
      </c>
      <c r="S23" s="760">
        <f t="shared" si="1"/>
        <v>10</v>
      </c>
    </row>
    <row r="24" spans="1:19" s="222" customFormat="1" ht="11.45" customHeight="1">
      <c r="A24" s="205">
        <f t="shared" si="3"/>
        <v>11</v>
      </c>
      <c r="C24" s="263" t="s">
        <v>922</v>
      </c>
      <c r="D24" s="262"/>
      <c r="E24" s="757">
        <v>2</v>
      </c>
      <c r="F24" s="757">
        <v>2</v>
      </c>
      <c r="G24" s="757">
        <v>1</v>
      </c>
      <c r="H24" s="757">
        <v>1</v>
      </c>
      <c r="I24" s="757">
        <v>4</v>
      </c>
      <c r="J24" s="757">
        <v>3</v>
      </c>
      <c r="K24" s="757">
        <v>4</v>
      </c>
      <c r="L24" s="757">
        <v>6</v>
      </c>
      <c r="M24" s="757">
        <v>2</v>
      </c>
      <c r="N24" s="757">
        <v>2</v>
      </c>
      <c r="O24" s="757">
        <v>3</v>
      </c>
      <c r="P24" s="757">
        <v>2</v>
      </c>
      <c r="Q24" s="758">
        <f t="shared" si="2"/>
        <v>2.7</v>
      </c>
      <c r="R24" s="759">
        <f t="shared" si="0"/>
        <v>3.1604514373225905E-4</v>
      </c>
      <c r="S24" s="760">
        <f t="shared" si="1"/>
        <v>3</v>
      </c>
    </row>
    <row r="25" spans="1:19" s="222" customFormat="1" ht="11.45" customHeight="1">
      <c r="A25" s="205">
        <f t="shared" si="3"/>
        <v>12</v>
      </c>
      <c r="C25" s="263" t="s">
        <v>923</v>
      </c>
      <c r="D25" s="262"/>
      <c r="E25" s="757">
        <v>126</v>
      </c>
      <c r="F25" s="757">
        <v>103</v>
      </c>
      <c r="G25" s="757">
        <v>92</v>
      </c>
      <c r="H25" s="757">
        <v>86</v>
      </c>
      <c r="I25" s="757">
        <v>139</v>
      </c>
      <c r="J25" s="757">
        <v>158</v>
      </c>
      <c r="K25" s="757">
        <v>162</v>
      </c>
      <c r="L25" s="757">
        <v>144</v>
      </c>
      <c r="M25" s="757">
        <v>150</v>
      </c>
      <c r="N25" s="757">
        <v>123</v>
      </c>
      <c r="O25" s="757">
        <v>102</v>
      </c>
      <c r="P25" s="757">
        <v>103</v>
      </c>
      <c r="Q25" s="758">
        <f t="shared" si="2"/>
        <v>124</v>
      </c>
      <c r="R25" s="759">
        <f t="shared" si="0"/>
        <v>1.4514665860296341E-2</v>
      </c>
      <c r="S25" s="760">
        <f t="shared" si="1"/>
        <v>124</v>
      </c>
    </row>
    <row r="26" spans="1:19" s="222" customFormat="1" ht="11.45" customHeight="1">
      <c r="A26" s="205">
        <f t="shared" si="3"/>
        <v>13</v>
      </c>
      <c r="C26" s="263" t="s">
        <v>924</v>
      </c>
      <c r="D26" s="262"/>
      <c r="E26" s="757">
        <v>9</v>
      </c>
      <c r="F26" s="757">
        <v>9</v>
      </c>
      <c r="G26" s="757">
        <v>9</v>
      </c>
      <c r="H26" s="757">
        <v>10</v>
      </c>
      <c r="I26" s="757">
        <v>9</v>
      </c>
      <c r="J26" s="757">
        <v>14</v>
      </c>
      <c r="K26" s="757">
        <v>15</v>
      </c>
      <c r="L26" s="757">
        <v>14</v>
      </c>
      <c r="M26" s="757">
        <v>13</v>
      </c>
      <c r="N26" s="757">
        <v>13</v>
      </c>
      <c r="O26" s="757">
        <v>5</v>
      </c>
      <c r="P26" s="757">
        <v>11</v>
      </c>
      <c r="Q26" s="758">
        <f t="shared" si="2"/>
        <v>10.9</v>
      </c>
      <c r="R26" s="759">
        <f t="shared" si="0"/>
        <v>1.2758859506228236E-3</v>
      </c>
      <c r="S26" s="760">
        <f t="shared" si="1"/>
        <v>11</v>
      </c>
    </row>
    <row r="27" spans="1:19" s="222" customFormat="1" ht="11.45" customHeight="1">
      <c r="A27" s="205">
        <f t="shared" si="3"/>
        <v>14</v>
      </c>
      <c r="C27" s="263" t="s">
        <v>925</v>
      </c>
      <c r="D27" s="262"/>
      <c r="E27" s="757">
        <v>25</v>
      </c>
      <c r="F27" s="757">
        <v>21</v>
      </c>
      <c r="G27" s="757">
        <v>18</v>
      </c>
      <c r="H27" s="757">
        <v>21</v>
      </c>
      <c r="I27" s="757">
        <v>34</v>
      </c>
      <c r="J27" s="757">
        <v>37</v>
      </c>
      <c r="K27" s="757">
        <v>38</v>
      </c>
      <c r="L27" s="757">
        <v>35</v>
      </c>
      <c r="M27" s="757">
        <v>36</v>
      </c>
      <c r="N27" s="757">
        <v>30</v>
      </c>
      <c r="O27" s="757">
        <v>20</v>
      </c>
      <c r="P27" s="757">
        <v>21</v>
      </c>
      <c r="Q27" s="758">
        <f t="shared" si="2"/>
        <v>28</v>
      </c>
      <c r="R27" s="759">
        <f t="shared" si="0"/>
        <v>3.2775051942604641E-3</v>
      </c>
      <c r="S27" s="760">
        <f t="shared" si="1"/>
        <v>28</v>
      </c>
    </row>
    <row r="28" spans="1:19" s="222" customFormat="1" ht="11.45" customHeight="1">
      <c r="A28" s="205">
        <f t="shared" si="3"/>
        <v>15</v>
      </c>
      <c r="C28" s="263" t="s">
        <v>926</v>
      </c>
      <c r="D28" s="262"/>
      <c r="E28" s="757">
        <v>45</v>
      </c>
      <c r="F28" s="757">
        <v>43</v>
      </c>
      <c r="G28" s="757">
        <v>39</v>
      </c>
      <c r="H28" s="757">
        <v>39</v>
      </c>
      <c r="I28" s="757">
        <v>56</v>
      </c>
      <c r="J28" s="757">
        <v>57</v>
      </c>
      <c r="K28" s="757">
        <v>56</v>
      </c>
      <c r="L28" s="757">
        <v>56</v>
      </c>
      <c r="M28" s="757">
        <v>55</v>
      </c>
      <c r="N28" s="757">
        <v>52</v>
      </c>
      <c r="O28" s="757">
        <v>42</v>
      </c>
      <c r="P28" s="757">
        <v>41</v>
      </c>
      <c r="Q28" s="758">
        <f t="shared" si="2"/>
        <v>48.4</v>
      </c>
      <c r="R28" s="759">
        <f t="shared" si="0"/>
        <v>5.6654018357930871E-3</v>
      </c>
      <c r="S28" s="760">
        <f t="shared" si="1"/>
        <v>48</v>
      </c>
    </row>
    <row r="29" spans="1:19" s="222" customFormat="1" ht="11.45" customHeight="1">
      <c r="A29" s="205">
        <f t="shared" si="3"/>
        <v>16</v>
      </c>
      <c r="C29" s="263" t="s">
        <v>927</v>
      </c>
      <c r="D29" s="262"/>
      <c r="E29" s="757">
        <v>104</v>
      </c>
      <c r="F29" s="757">
        <v>98</v>
      </c>
      <c r="G29" s="757">
        <v>90</v>
      </c>
      <c r="H29" s="757">
        <v>61</v>
      </c>
      <c r="I29" s="757">
        <v>102</v>
      </c>
      <c r="J29" s="757">
        <v>106</v>
      </c>
      <c r="K29" s="757">
        <v>108</v>
      </c>
      <c r="L29" s="757">
        <v>104</v>
      </c>
      <c r="M29" s="757">
        <v>110</v>
      </c>
      <c r="N29" s="757">
        <v>109</v>
      </c>
      <c r="O29" s="757">
        <v>101</v>
      </c>
      <c r="P29" s="757">
        <v>102</v>
      </c>
      <c r="Q29" s="758">
        <f t="shared" si="2"/>
        <v>99.6</v>
      </c>
      <c r="R29" s="759">
        <f t="shared" si="0"/>
        <v>1.1658554191012221E-2</v>
      </c>
      <c r="S29" s="760">
        <f t="shared" si="1"/>
        <v>100</v>
      </c>
    </row>
    <row r="30" spans="1:19" ht="11.45" customHeight="1">
      <c r="A30" s="205">
        <f t="shared" si="3"/>
        <v>17</v>
      </c>
      <c r="B30" s="224" t="s">
        <v>256</v>
      </c>
      <c r="C30" s="264" t="s">
        <v>928</v>
      </c>
      <c r="D30" s="262"/>
      <c r="E30" s="757">
        <v>204</v>
      </c>
      <c r="F30" s="757">
        <v>131</v>
      </c>
      <c r="G30" s="757">
        <v>109</v>
      </c>
      <c r="H30" s="757">
        <v>84</v>
      </c>
      <c r="I30" s="757">
        <v>134</v>
      </c>
      <c r="J30" s="757">
        <v>132</v>
      </c>
      <c r="K30" s="757">
        <v>143</v>
      </c>
      <c r="L30" s="757">
        <v>120</v>
      </c>
      <c r="M30" s="757">
        <v>127</v>
      </c>
      <c r="N30" s="757">
        <v>118</v>
      </c>
      <c r="O30" s="757">
        <v>142</v>
      </c>
      <c r="P30" s="757">
        <v>129</v>
      </c>
      <c r="Q30" s="758">
        <f>ROUND(SUM(E30:P30)/12,1)</f>
        <v>131.1</v>
      </c>
      <c r="R30" s="759">
        <f t="shared" si="0"/>
        <v>1.5345747534555242E-2</v>
      </c>
      <c r="S30" s="760">
        <f t="shared" si="1"/>
        <v>131</v>
      </c>
    </row>
    <row r="31" spans="1:19" ht="11.45" customHeight="1">
      <c r="A31" s="205">
        <f t="shared" si="3"/>
        <v>18</v>
      </c>
      <c r="C31" s="264" t="s">
        <v>1386</v>
      </c>
      <c r="D31" s="262"/>
      <c r="E31" s="757">
        <v>50</v>
      </c>
      <c r="F31" s="757">
        <v>44</v>
      </c>
      <c r="G31" s="757">
        <v>31</v>
      </c>
      <c r="H31" s="757">
        <v>23</v>
      </c>
      <c r="I31" s="757">
        <v>42</v>
      </c>
      <c r="J31" s="757">
        <v>48</v>
      </c>
      <c r="K31" s="757">
        <v>53</v>
      </c>
      <c r="L31" s="757">
        <v>45</v>
      </c>
      <c r="M31" s="757">
        <v>43</v>
      </c>
      <c r="N31" s="757">
        <v>35</v>
      </c>
      <c r="O31" s="757">
        <v>35</v>
      </c>
      <c r="P31" s="757">
        <v>36</v>
      </c>
      <c r="Q31" s="761">
        <f t="shared" si="2"/>
        <v>40.4</v>
      </c>
      <c r="R31" s="759">
        <f t="shared" si="0"/>
        <v>4.7289717802900975E-3</v>
      </c>
      <c r="S31" s="760">
        <f t="shared" si="1"/>
        <v>40</v>
      </c>
    </row>
    <row r="32" spans="1:19" ht="11.45" customHeight="1">
      <c r="A32" s="205">
        <f t="shared" si="3"/>
        <v>19</v>
      </c>
      <c r="C32" s="263"/>
      <c r="D32" s="262"/>
      <c r="E32" s="757"/>
      <c r="F32" s="757"/>
      <c r="G32" s="757"/>
      <c r="H32" s="757"/>
      <c r="I32" s="757"/>
      <c r="J32" s="757"/>
      <c r="K32" s="757"/>
      <c r="L32" s="757"/>
      <c r="M32" s="757"/>
      <c r="N32" s="757"/>
      <c r="O32" s="757"/>
      <c r="P32" s="757"/>
      <c r="Q32" s="762"/>
      <c r="R32" s="759"/>
      <c r="S32" s="760"/>
    </row>
    <row r="33" spans="1:20" ht="11.45" customHeight="1">
      <c r="A33" s="205">
        <f t="shared" si="3"/>
        <v>20</v>
      </c>
      <c r="B33" s="224" t="s">
        <v>583</v>
      </c>
      <c r="C33" s="205"/>
      <c r="D33" s="215"/>
      <c r="E33" s="763">
        <f t="shared" ref="E33:P33" si="4">SUM(E14:E31)</f>
        <v>9556</v>
      </c>
      <c r="F33" s="763">
        <f t="shared" si="4"/>
        <v>7764</v>
      </c>
      <c r="G33" s="763">
        <f t="shared" si="4"/>
        <v>6428</v>
      </c>
      <c r="H33" s="763">
        <f t="shared" si="4"/>
        <v>6076</v>
      </c>
      <c r="I33" s="763">
        <f t="shared" si="4"/>
        <v>9276</v>
      </c>
      <c r="J33" s="763">
        <f t="shared" si="4"/>
        <v>9984</v>
      </c>
      <c r="K33" s="763">
        <f t="shared" si="4"/>
        <v>10460</v>
      </c>
      <c r="L33" s="763">
        <f t="shared" si="4"/>
        <v>9668</v>
      </c>
      <c r="M33" s="763">
        <f t="shared" si="4"/>
        <v>9515</v>
      </c>
      <c r="N33" s="763">
        <f t="shared" si="4"/>
        <v>8520</v>
      </c>
      <c r="O33" s="763">
        <f t="shared" si="4"/>
        <v>7658</v>
      </c>
      <c r="P33" s="763">
        <f t="shared" si="4"/>
        <v>7612</v>
      </c>
      <c r="Q33" s="764">
        <f>SUM(E33:P33)/12</f>
        <v>8543.0833333333339</v>
      </c>
      <c r="R33" s="765" t="s">
        <v>584</v>
      </c>
      <c r="S33" s="766">
        <f>SUM(S14:S31)</f>
        <v>8544</v>
      </c>
      <c r="T33" s="206" t="s">
        <v>585</v>
      </c>
    </row>
    <row r="34" spans="1:20" s="225" customFormat="1" ht="9.75" customHeight="1">
      <c r="A34" s="205"/>
      <c r="C34" s="205"/>
      <c r="D34" s="205"/>
      <c r="E34" s="767"/>
      <c r="F34" s="760"/>
      <c r="G34" s="760"/>
      <c r="H34" s="760"/>
      <c r="I34" s="760"/>
      <c r="J34" s="760"/>
      <c r="K34" s="760"/>
      <c r="L34" s="765"/>
      <c r="M34" s="765"/>
      <c r="N34" s="765"/>
      <c r="O34" s="765"/>
      <c r="P34" s="765"/>
      <c r="Q34" s="768"/>
      <c r="R34" s="769"/>
      <c r="S34" s="770"/>
    </row>
    <row r="35" spans="1:20" ht="11.45" customHeight="1">
      <c r="C35" s="204"/>
      <c r="D35" s="204"/>
      <c r="E35" s="768"/>
      <c r="F35" s="768"/>
      <c r="G35" s="768"/>
      <c r="H35" s="768"/>
      <c r="I35" s="768"/>
      <c r="J35" s="768"/>
      <c r="K35" s="768"/>
      <c r="L35" s="768"/>
      <c r="M35" s="768"/>
      <c r="N35" s="768"/>
      <c r="O35" s="768"/>
      <c r="P35" s="768"/>
      <c r="Q35" s="760"/>
      <c r="R35" s="771" t="s">
        <v>256</v>
      </c>
      <c r="S35" s="765"/>
    </row>
    <row r="36" spans="1:20" ht="11.45" customHeight="1">
      <c r="B36" s="226" t="s">
        <v>577</v>
      </c>
      <c r="C36" s="227"/>
      <c r="D36" s="227"/>
      <c r="E36" s="760"/>
      <c r="F36" s="760"/>
      <c r="G36" s="760"/>
      <c r="H36" s="760"/>
      <c r="I36" s="760"/>
      <c r="J36" s="760"/>
      <c r="K36" s="760"/>
      <c r="L36" s="760"/>
      <c r="M36" s="760"/>
      <c r="N36" s="760"/>
      <c r="O36" s="760"/>
      <c r="P36" s="760"/>
      <c r="Q36" s="760"/>
      <c r="R36" s="771"/>
      <c r="S36" s="765"/>
    </row>
    <row r="37" spans="1:20" ht="11.25" customHeight="1">
      <c r="A37" s="205">
        <f>+A33+1</f>
        <v>21</v>
      </c>
      <c r="B37" s="224" t="s">
        <v>578</v>
      </c>
      <c r="C37" s="205"/>
      <c r="D37" s="265" t="s">
        <v>929</v>
      </c>
      <c r="E37" s="757">
        <v>3193</v>
      </c>
      <c r="F37" s="757">
        <v>2804</v>
      </c>
      <c r="G37" s="757">
        <v>2280</v>
      </c>
      <c r="H37" s="757">
        <v>2387</v>
      </c>
      <c r="I37" s="757">
        <v>3610</v>
      </c>
      <c r="J37" s="757">
        <v>3923</v>
      </c>
      <c r="K37" s="757">
        <v>4107</v>
      </c>
      <c r="L37" s="757">
        <v>3831</v>
      </c>
      <c r="M37" s="757">
        <v>3749</v>
      </c>
      <c r="N37" s="757">
        <v>3370</v>
      </c>
      <c r="O37" s="757">
        <v>2577</v>
      </c>
      <c r="P37" s="757">
        <v>2589</v>
      </c>
      <c r="Q37" s="760"/>
      <c r="R37" s="771"/>
      <c r="S37" s="765"/>
    </row>
    <row r="38" spans="1:20" ht="11.25" customHeight="1">
      <c r="A38" s="205">
        <f t="shared" ref="A38:A48" si="5">+A37+1</f>
        <v>22</v>
      </c>
      <c r="B38" s="205"/>
      <c r="C38" s="205"/>
      <c r="D38" s="265" t="s">
        <v>579</v>
      </c>
      <c r="E38" s="757"/>
      <c r="F38" s="757"/>
      <c r="G38" s="757"/>
      <c r="H38" s="757"/>
      <c r="I38" s="757"/>
      <c r="J38" s="757"/>
      <c r="K38" s="757"/>
      <c r="L38" s="757"/>
      <c r="M38" s="757"/>
      <c r="N38" s="757"/>
      <c r="O38" s="757"/>
      <c r="P38" s="757"/>
      <c r="Q38" s="764"/>
      <c r="R38" s="771"/>
      <c r="S38" s="765"/>
    </row>
    <row r="39" spans="1:20" ht="11.25" customHeight="1">
      <c r="A39" s="205">
        <f t="shared" si="5"/>
        <v>23</v>
      </c>
      <c r="B39" s="205"/>
      <c r="C39" s="205"/>
      <c r="D39" s="265" t="s">
        <v>930</v>
      </c>
      <c r="E39" s="757"/>
      <c r="F39" s="757"/>
      <c r="G39" s="757"/>
      <c r="H39" s="757"/>
      <c r="I39" s="757"/>
      <c r="J39" s="757"/>
      <c r="K39" s="757"/>
      <c r="L39" s="757"/>
      <c r="M39" s="757"/>
      <c r="N39" s="757"/>
      <c r="O39" s="757"/>
      <c r="P39" s="757"/>
      <c r="Q39" s="764"/>
      <c r="R39" s="771"/>
      <c r="S39" s="765"/>
    </row>
    <row r="40" spans="1:20" ht="11.25" customHeight="1">
      <c r="A40" s="205">
        <f t="shared" si="5"/>
        <v>24</v>
      </c>
      <c r="B40" s="205"/>
      <c r="C40" s="205"/>
      <c r="D40" s="265" t="s">
        <v>586</v>
      </c>
      <c r="E40" s="757"/>
      <c r="F40" s="757"/>
      <c r="G40" s="757"/>
      <c r="H40" s="757"/>
      <c r="I40" s="757"/>
      <c r="J40" s="757"/>
      <c r="K40" s="757"/>
      <c r="L40" s="757"/>
      <c r="M40" s="757"/>
      <c r="N40" s="757"/>
      <c r="O40" s="757"/>
      <c r="P40" s="757"/>
      <c r="Q40" s="760"/>
      <c r="R40" s="771"/>
      <c r="S40" s="765"/>
    </row>
    <row r="41" spans="1:20" ht="11.25" customHeight="1">
      <c r="A41" s="205">
        <f t="shared" si="5"/>
        <v>25</v>
      </c>
      <c r="B41" s="205"/>
      <c r="C41" s="205"/>
      <c r="D41" s="265" t="s">
        <v>587</v>
      </c>
      <c r="E41" s="757">
        <v>-7</v>
      </c>
      <c r="F41" s="757">
        <v>-7</v>
      </c>
      <c r="G41" s="757">
        <v>-6</v>
      </c>
      <c r="H41" s="757">
        <v>-6</v>
      </c>
      <c r="I41" s="757">
        <v>-7</v>
      </c>
      <c r="J41" s="757">
        <v>-6</v>
      </c>
      <c r="K41" s="757">
        <v>-6</v>
      </c>
      <c r="L41" s="757">
        <v>-6</v>
      </c>
      <c r="M41" s="757">
        <v>-6</v>
      </c>
      <c r="N41" s="757">
        <v>-7</v>
      </c>
      <c r="O41" s="757">
        <v>-7</v>
      </c>
      <c r="P41" s="757">
        <v>-7</v>
      </c>
      <c r="Q41" s="760"/>
      <c r="R41" s="771"/>
      <c r="S41" s="765"/>
    </row>
    <row r="42" spans="1:20" ht="12.75" customHeight="1">
      <c r="A42" s="205">
        <f t="shared" si="5"/>
        <v>26</v>
      </c>
      <c r="B42" s="205"/>
      <c r="C42" s="205"/>
      <c r="D42" s="265" t="s">
        <v>580</v>
      </c>
      <c r="E42" s="757">
        <v>-8</v>
      </c>
      <c r="F42" s="757">
        <v>-7</v>
      </c>
      <c r="G42" s="757">
        <v>-5</v>
      </c>
      <c r="H42" s="757">
        <v>-4</v>
      </c>
      <c r="I42" s="757">
        <v>-7</v>
      </c>
      <c r="J42" s="757">
        <v>-6</v>
      </c>
      <c r="K42" s="757">
        <v>-6</v>
      </c>
      <c r="L42" s="757">
        <v>-9</v>
      </c>
      <c r="M42" s="757">
        <v>-8</v>
      </c>
      <c r="N42" s="757">
        <v>-6</v>
      </c>
      <c r="O42" s="757">
        <v>-6</v>
      </c>
      <c r="P42" s="757">
        <v>-4</v>
      </c>
      <c r="Q42" s="765"/>
      <c r="R42" s="771"/>
      <c r="S42" s="765"/>
    </row>
    <row r="43" spans="1:20" ht="17.25" customHeight="1" thickBot="1">
      <c r="A43" s="205">
        <f t="shared" si="5"/>
        <v>27</v>
      </c>
      <c r="B43" s="205"/>
      <c r="C43" s="224" t="s">
        <v>588</v>
      </c>
      <c r="D43" s="224"/>
      <c r="E43" s="772">
        <f t="shared" ref="E43:P43" si="6">SUM(E37:E42)</f>
        <v>3178</v>
      </c>
      <c r="F43" s="772">
        <f t="shared" si="6"/>
        <v>2790</v>
      </c>
      <c r="G43" s="772">
        <f t="shared" si="6"/>
        <v>2269</v>
      </c>
      <c r="H43" s="772">
        <f t="shared" si="6"/>
        <v>2377</v>
      </c>
      <c r="I43" s="772">
        <f t="shared" si="6"/>
        <v>3596</v>
      </c>
      <c r="J43" s="772">
        <f t="shared" si="6"/>
        <v>3911</v>
      </c>
      <c r="K43" s="772">
        <f t="shared" si="6"/>
        <v>4095</v>
      </c>
      <c r="L43" s="772">
        <f t="shared" si="6"/>
        <v>3816</v>
      </c>
      <c r="M43" s="772">
        <f t="shared" si="6"/>
        <v>3735</v>
      </c>
      <c r="N43" s="772">
        <f t="shared" si="6"/>
        <v>3357</v>
      </c>
      <c r="O43" s="772">
        <f t="shared" si="6"/>
        <v>2564</v>
      </c>
      <c r="P43" s="772">
        <f t="shared" si="6"/>
        <v>2578</v>
      </c>
      <c r="Q43" s="764">
        <f>SUM(E43:P43)/12</f>
        <v>3188.8333333333335</v>
      </c>
      <c r="R43" s="771"/>
      <c r="S43" s="765">
        <f>ROUND(Q43,0)</f>
        <v>3189</v>
      </c>
    </row>
    <row r="44" spans="1:20" ht="11.45" customHeight="1" thickTop="1">
      <c r="A44" s="205">
        <f t="shared" si="5"/>
        <v>28</v>
      </c>
      <c r="B44" s="224" t="s">
        <v>581</v>
      </c>
      <c r="C44" s="205"/>
      <c r="D44" s="205"/>
      <c r="E44" s="760"/>
      <c r="F44" s="760"/>
      <c r="G44" s="760"/>
      <c r="H44" s="760"/>
      <c r="I44" s="760"/>
      <c r="J44" s="760" t="s">
        <v>256</v>
      </c>
      <c r="K44" s="760"/>
      <c r="L44" s="760"/>
      <c r="M44" s="760"/>
      <c r="N44" s="760"/>
      <c r="O44" s="760"/>
      <c r="P44" s="760"/>
      <c r="Q44" s="760"/>
      <c r="R44" s="771" t="s">
        <v>256</v>
      </c>
      <c r="S44" s="765"/>
    </row>
    <row r="45" spans="1:20" ht="11.45" customHeight="1">
      <c r="A45" s="205">
        <f t="shared" si="5"/>
        <v>29</v>
      </c>
      <c r="B45" s="205"/>
      <c r="C45" s="205"/>
      <c r="D45" s="265" t="s">
        <v>931</v>
      </c>
      <c r="E45" s="757">
        <v>3614</v>
      </c>
      <c r="F45" s="757">
        <v>2923</v>
      </c>
      <c r="G45" s="757">
        <v>2437</v>
      </c>
      <c r="H45" s="757">
        <v>2396</v>
      </c>
      <c r="I45" s="757">
        <v>3504</v>
      </c>
      <c r="J45" s="757">
        <v>3695</v>
      </c>
      <c r="K45" s="757">
        <v>3829</v>
      </c>
      <c r="L45" s="757">
        <v>3583</v>
      </c>
      <c r="M45" s="757">
        <v>3583</v>
      </c>
      <c r="N45" s="757">
        <v>3153</v>
      </c>
      <c r="O45" s="757">
        <v>2917</v>
      </c>
      <c r="P45" s="757">
        <v>2866</v>
      </c>
      <c r="Q45" s="760"/>
      <c r="R45" s="771"/>
      <c r="S45" s="765"/>
    </row>
    <row r="46" spans="1:20" ht="11.45" customHeight="1">
      <c r="A46" s="205">
        <f t="shared" si="5"/>
        <v>30</v>
      </c>
      <c r="B46" s="205"/>
      <c r="C46" s="205"/>
      <c r="D46" s="265" t="s">
        <v>589</v>
      </c>
      <c r="E46" s="757">
        <v>0</v>
      </c>
      <c r="F46" s="757">
        <v>0</v>
      </c>
      <c r="G46" s="757">
        <v>0</v>
      </c>
      <c r="H46" s="757">
        <v>0</v>
      </c>
      <c r="I46" s="757">
        <v>0</v>
      </c>
      <c r="J46" s="757">
        <v>0</v>
      </c>
      <c r="K46" s="757">
        <v>0</v>
      </c>
      <c r="L46" s="757">
        <v>0</v>
      </c>
      <c r="M46" s="757">
        <v>0</v>
      </c>
      <c r="N46" s="757">
        <v>120</v>
      </c>
      <c r="O46" s="757">
        <v>133</v>
      </c>
      <c r="P46" s="757">
        <v>135</v>
      </c>
      <c r="Q46" s="760"/>
      <c r="R46" s="771" t="s">
        <v>256</v>
      </c>
      <c r="S46" s="765"/>
    </row>
    <row r="47" spans="1:20" ht="11.45" customHeight="1">
      <c r="A47" s="205">
        <f t="shared" si="5"/>
        <v>31</v>
      </c>
      <c r="B47" s="205"/>
      <c r="C47" s="205"/>
      <c r="D47" s="265" t="s">
        <v>932</v>
      </c>
      <c r="E47" s="757">
        <v>-204</v>
      </c>
      <c r="F47" s="757">
        <v>-131</v>
      </c>
      <c r="G47" s="757">
        <v>-109</v>
      </c>
      <c r="H47" s="757">
        <v>-84</v>
      </c>
      <c r="I47" s="757">
        <v>-134</v>
      </c>
      <c r="J47" s="757">
        <v>-132</v>
      </c>
      <c r="K47" s="757">
        <v>-143</v>
      </c>
      <c r="L47" s="757">
        <v>-120</v>
      </c>
      <c r="M47" s="757">
        <v>-127</v>
      </c>
      <c r="N47" s="757">
        <v>-118</v>
      </c>
      <c r="O47" s="757">
        <v>-142</v>
      </c>
      <c r="P47" s="757">
        <v>-129</v>
      </c>
      <c r="Q47" s="760"/>
      <c r="R47" s="771" t="s">
        <v>256</v>
      </c>
      <c r="S47" s="765"/>
    </row>
    <row r="48" spans="1:20" ht="15" customHeight="1" thickBot="1">
      <c r="A48" s="205">
        <f t="shared" si="5"/>
        <v>32</v>
      </c>
      <c r="B48" s="205"/>
      <c r="C48" s="224" t="s">
        <v>590</v>
      </c>
      <c r="D48" s="224"/>
      <c r="E48" s="772">
        <f>SUM(E45:E47)</f>
        <v>3410</v>
      </c>
      <c r="F48" s="772">
        <f t="shared" ref="F48:P48" si="7">SUM(F45:F47)</f>
        <v>2792</v>
      </c>
      <c r="G48" s="772">
        <f t="shared" si="7"/>
        <v>2328</v>
      </c>
      <c r="H48" s="772">
        <f t="shared" si="7"/>
        <v>2312</v>
      </c>
      <c r="I48" s="772">
        <f t="shared" si="7"/>
        <v>3370</v>
      </c>
      <c r="J48" s="772">
        <f t="shared" si="7"/>
        <v>3563</v>
      </c>
      <c r="K48" s="772">
        <f t="shared" si="7"/>
        <v>3686</v>
      </c>
      <c r="L48" s="772">
        <f t="shared" si="7"/>
        <v>3463</v>
      </c>
      <c r="M48" s="772">
        <f t="shared" si="7"/>
        <v>3456</v>
      </c>
      <c r="N48" s="772">
        <f t="shared" si="7"/>
        <v>3155</v>
      </c>
      <c r="O48" s="772">
        <f t="shared" si="7"/>
        <v>2908</v>
      </c>
      <c r="P48" s="772">
        <f t="shared" si="7"/>
        <v>2872</v>
      </c>
      <c r="Q48" s="764">
        <f>SUM(E48:P48)/12</f>
        <v>3109.5833333333335</v>
      </c>
      <c r="R48" s="771"/>
      <c r="S48" s="765">
        <f>ROUND(Q48,0)</f>
        <v>3110</v>
      </c>
    </row>
    <row r="49" spans="1:19" ht="11.45" customHeight="1" thickTop="1">
      <c r="B49" s="205"/>
      <c r="C49" s="205"/>
      <c r="D49" s="205"/>
      <c r="E49" s="760"/>
      <c r="F49" s="760"/>
      <c r="G49" s="760"/>
      <c r="H49" s="760"/>
      <c r="I49" s="760"/>
      <c r="J49" s="760"/>
      <c r="K49" s="760"/>
      <c r="L49" s="760"/>
      <c r="M49" s="760"/>
      <c r="N49" s="760"/>
      <c r="O49" s="760"/>
      <c r="P49" s="760"/>
      <c r="Q49" s="760"/>
      <c r="R49" s="771"/>
      <c r="S49" s="765"/>
    </row>
    <row r="50" spans="1:19">
      <c r="A50" s="205">
        <f>+A48+1</f>
        <v>33</v>
      </c>
      <c r="B50" s="224" t="s">
        <v>599</v>
      </c>
      <c r="C50" s="224"/>
      <c r="D50" s="224"/>
      <c r="E50" s="760"/>
      <c r="F50" s="760"/>
      <c r="G50" s="760"/>
      <c r="H50" s="760"/>
      <c r="I50" s="760"/>
      <c r="J50" s="760"/>
      <c r="K50" s="760"/>
      <c r="L50" s="760"/>
      <c r="M50" s="760"/>
      <c r="N50" s="760"/>
      <c r="O50" s="760"/>
      <c r="P50" s="760"/>
      <c r="Q50" s="773" t="s">
        <v>591</v>
      </c>
      <c r="R50" s="774" t="s">
        <v>592</v>
      </c>
      <c r="S50" s="775">
        <f>ROUND(Q59,0)</f>
        <v>8543</v>
      </c>
    </row>
    <row r="51" spans="1:19">
      <c r="A51" s="206"/>
      <c r="B51" s="228"/>
      <c r="C51" s="224"/>
      <c r="D51" s="224"/>
      <c r="E51" s="765"/>
      <c r="F51" s="765"/>
      <c r="G51" s="760"/>
      <c r="H51" s="765"/>
      <c r="I51" s="765"/>
      <c r="J51" s="765"/>
      <c r="K51" s="765"/>
      <c r="L51" s="765"/>
      <c r="M51" s="765"/>
      <c r="N51" s="765"/>
      <c r="O51" s="765"/>
      <c r="P51" s="765"/>
      <c r="Q51" s="765"/>
      <c r="R51" s="765"/>
      <c r="S51" s="765"/>
    </row>
    <row r="52" spans="1:19" ht="13.5" thickBot="1">
      <c r="A52" s="206"/>
      <c r="B52" s="230" t="s">
        <v>593</v>
      </c>
      <c r="C52" s="231"/>
      <c r="D52" s="221"/>
      <c r="E52" s="765"/>
      <c r="F52" s="765"/>
      <c r="G52" s="760"/>
      <c r="H52" s="765"/>
      <c r="I52" s="765"/>
      <c r="J52" s="765"/>
      <c r="K52" s="765"/>
      <c r="L52" s="765"/>
      <c r="M52" s="765"/>
      <c r="N52" s="765"/>
      <c r="O52" s="765"/>
      <c r="P52" s="765"/>
      <c r="Q52" s="765"/>
      <c r="R52" s="771"/>
      <c r="S52" s="765"/>
    </row>
    <row r="53" spans="1:19">
      <c r="A53" s="206">
        <f>+A50+1</f>
        <v>34</v>
      </c>
      <c r="B53" s="205"/>
      <c r="D53" s="228" t="s">
        <v>594</v>
      </c>
      <c r="E53" s="760">
        <f t="shared" ref="E53:P53" si="8">+E14</f>
        <v>3179</v>
      </c>
      <c r="F53" s="760">
        <f t="shared" si="8"/>
        <v>2790</v>
      </c>
      <c r="G53" s="760">
        <f t="shared" si="8"/>
        <v>2269</v>
      </c>
      <c r="H53" s="760">
        <f t="shared" si="8"/>
        <v>2377</v>
      </c>
      <c r="I53" s="760">
        <f t="shared" si="8"/>
        <v>3597</v>
      </c>
      <c r="J53" s="760">
        <f t="shared" si="8"/>
        <v>3911</v>
      </c>
      <c r="K53" s="760">
        <f t="shared" si="8"/>
        <v>4095</v>
      </c>
      <c r="L53" s="760">
        <f t="shared" si="8"/>
        <v>3816</v>
      </c>
      <c r="M53" s="760">
        <f t="shared" si="8"/>
        <v>3735</v>
      </c>
      <c r="N53" s="760">
        <f t="shared" si="8"/>
        <v>3357</v>
      </c>
      <c r="O53" s="760">
        <f t="shared" si="8"/>
        <v>2564</v>
      </c>
      <c r="P53" s="760">
        <f t="shared" si="8"/>
        <v>2578</v>
      </c>
      <c r="Q53" s="764">
        <f t="shared" ref="Q53:Q58" si="9">SUM(E53:P53)/12</f>
        <v>3189</v>
      </c>
      <c r="R53" s="771"/>
      <c r="S53" s="760">
        <f t="shared" ref="S53:S58" si="10">ROUND(Q53,0)</f>
        <v>3189</v>
      </c>
    </row>
    <row r="54" spans="1:19">
      <c r="A54" s="206">
        <f t="shared" ref="A54:A59" si="11">+A53+1</f>
        <v>35</v>
      </c>
      <c r="B54" s="205"/>
      <c r="C54" s="205"/>
      <c r="D54" s="228" t="s">
        <v>595</v>
      </c>
      <c r="E54" s="760">
        <v>0</v>
      </c>
      <c r="F54" s="760">
        <v>0</v>
      </c>
      <c r="G54" s="760">
        <v>0</v>
      </c>
      <c r="H54" s="760">
        <v>0</v>
      </c>
      <c r="I54" s="760">
        <v>0</v>
      </c>
      <c r="J54" s="760">
        <v>0</v>
      </c>
      <c r="K54" s="760">
        <v>0</v>
      </c>
      <c r="L54" s="760">
        <v>0</v>
      </c>
      <c r="M54" s="760">
        <v>0</v>
      </c>
      <c r="N54" s="760">
        <v>0</v>
      </c>
      <c r="O54" s="760">
        <v>0</v>
      </c>
      <c r="P54" s="760">
        <v>0</v>
      </c>
      <c r="Q54" s="764">
        <f t="shared" si="9"/>
        <v>0</v>
      </c>
      <c r="R54" s="771"/>
      <c r="S54" s="760">
        <f t="shared" si="10"/>
        <v>0</v>
      </c>
    </row>
    <row r="55" spans="1:19">
      <c r="A55" s="206">
        <f t="shared" si="11"/>
        <v>36</v>
      </c>
      <c r="B55" s="205"/>
      <c r="C55" s="205"/>
      <c r="D55" s="228" t="s">
        <v>596</v>
      </c>
      <c r="E55" s="760">
        <v>0</v>
      </c>
      <c r="F55" s="760">
        <v>0</v>
      </c>
      <c r="G55" s="760">
        <v>0</v>
      </c>
      <c r="H55" s="760">
        <v>0</v>
      </c>
      <c r="I55" s="760">
        <v>0</v>
      </c>
      <c r="J55" s="760">
        <v>0</v>
      </c>
      <c r="K55" s="760">
        <v>0</v>
      </c>
      <c r="L55" s="760">
        <v>0</v>
      </c>
      <c r="M55" s="760">
        <v>0</v>
      </c>
      <c r="N55" s="760">
        <v>0</v>
      </c>
      <c r="O55" s="760">
        <v>0</v>
      </c>
      <c r="P55" s="760">
        <v>0</v>
      </c>
      <c r="Q55" s="764">
        <f t="shared" si="9"/>
        <v>0</v>
      </c>
      <c r="R55" s="771"/>
      <c r="S55" s="760">
        <f t="shared" si="10"/>
        <v>0</v>
      </c>
    </row>
    <row r="56" spans="1:19">
      <c r="A56" s="206">
        <f t="shared" si="11"/>
        <v>37</v>
      </c>
      <c r="B56" s="205"/>
      <c r="C56" s="205"/>
      <c r="D56" s="228" t="s">
        <v>597</v>
      </c>
      <c r="E56" s="760">
        <f>+E53-E54-E55</f>
        <v>3179</v>
      </c>
      <c r="F56" s="760">
        <f t="shared" ref="F56:P56" si="12">+F53-F54-F55</f>
        <v>2790</v>
      </c>
      <c r="G56" s="760">
        <f t="shared" si="12"/>
        <v>2269</v>
      </c>
      <c r="H56" s="760">
        <f t="shared" si="12"/>
        <v>2377</v>
      </c>
      <c r="I56" s="760">
        <f t="shared" si="12"/>
        <v>3597</v>
      </c>
      <c r="J56" s="760">
        <f t="shared" si="12"/>
        <v>3911</v>
      </c>
      <c r="K56" s="760">
        <f t="shared" si="12"/>
        <v>4095</v>
      </c>
      <c r="L56" s="760">
        <f t="shared" si="12"/>
        <v>3816</v>
      </c>
      <c r="M56" s="760">
        <f t="shared" si="12"/>
        <v>3735</v>
      </c>
      <c r="N56" s="760">
        <f t="shared" si="12"/>
        <v>3357</v>
      </c>
      <c r="O56" s="760">
        <f t="shared" si="12"/>
        <v>2564</v>
      </c>
      <c r="P56" s="760">
        <f t="shared" si="12"/>
        <v>2578</v>
      </c>
      <c r="Q56" s="764">
        <f t="shared" si="9"/>
        <v>3189</v>
      </c>
      <c r="R56" s="771"/>
      <c r="S56" s="760">
        <f t="shared" si="10"/>
        <v>3189</v>
      </c>
    </row>
    <row r="57" spans="1:19">
      <c r="A57" s="206">
        <f t="shared" si="11"/>
        <v>38</v>
      </c>
      <c r="B57" s="205"/>
      <c r="C57" s="205"/>
      <c r="D57" s="228" t="s">
        <v>598</v>
      </c>
      <c r="E57" s="760">
        <f t="shared" ref="E57:P57" si="13">+E15</f>
        <v>3410</v>
      </c>
      <c r="F57" s="760">
        <f t="shared" si="13"/>
        <v>2792</v>
      </c>
      <c r="G57" s="760">
        <f t="shared" si="13"/>
        <v>2328</v>
      </c>
      <c r="H57" s="760">
        <f t="shared" si="13"/>
        <v>2312</v>
      </c>
      <c r="I57" s="760">
        <f t="shared" si="13"/>
        <v>3370</v>
      </c>
      <c r="J57" s="760">
        <f t="shared" si="13"/>
        <v>3563</v>
      </c>
      <c r="K57" s="760">
        <f t="shared" si="13"/>
        <v>3686</v>
      </c>
      <c r="L57" s="760">
        <f t="shared" si="13"/>
        <v>3463</v>
      </c>
      <c r="M57" s="760">
        <f t="shared" si="13"/>
        <v>3456</v>
      </c>
      <c r="N57" s="760">
        <f t="shared" si="13"/>
        <v>3155</v>
      </c>
      <c r="O57" s="760">
        <f t="shared" si="13"/>
        <v>2908</v>
      </c>
      <c r="P57" s="760">
        <f t="shared" si="13"/>
        <v>2872</v>
      </c>
      <c r="Q57" s="764">
        <f t="shared" si="9"/>
        <v>3109.5833333333335</v>
      </c>
      <c r="R57" s="771"/>
      <c r="S57" s="760">
        <f t="shared" si="10"/>
        <v>3110</v>
      </c>
    </row>
    <row r="58" spans="1:19" ht="13.5" thickBot="1">
      <c r="A58" s="206">
        <f t="shared" si="11"/>
        <v>39</v>
      </c>
      <c r="C58" s="205" t="s">
        <v>599</v>
      </c>
      <c r="D58" s="229"/>
      <c r="E58" s="776">
        <f>+E56+E57</f>
        <v>6589</v>
      </c>
      <c r="F58" s="776">
        <f t="shared" ref="F58:P58" si="14">+F56+F57</f>
        <v>5582</v>
      </c>
      <c r="G58" s="776">
        <f t="shared" si="14"/>
        <v>4597</v>
      </c>
      <c r="H58" s="776">
        <f t="shared" si="14"/>
        <v>4689</v>
      </c>
      <c r="I58" s="776">
        <f t="shared" si="14"/>
        <v>6967</v>
      </c>
      <c r="J58" s="776">
        <f t="shared" si="14"/>
        <v>7474</v>
      </c>
      <c r="K58" s="776">
        <f t="shared" si="14"/>
        <v>7781</v>
      </c>
      <c r="L58" s="776">
        <f t="shared" si="14"/>
        <v>7279</v>
      </c>
      <c r="M58" s="776">
        <f t="shared" si="14"/>
        <v>7191</v>
      </c>
      <c r="N58" s="776">
        <f t="shared" si="14"/>
        <v>6512</v>
      </c>
      <c r="O58" s="776">
        <f t="shared" si="14"/>
        <v>5472</v>
      </c>
      <c r="P58" s="776">
        <f t="shared" si="14"/>
        <v>5450</v>
      </c>
      <c r="Q58" s="764">
        <f t="shared" si="9"/>
        <v>6298.583333333333</v>
      </c>
      <c r="R58" s="771"/>
      <c r="S58" s="760">
        <f t="shared" si="10"/>
        <v>6299</v>
      </c>
    </row>
    <row r="59" spans="1:19" ht="14.25" thickTop="1" thickBot="1">
      <c r="A59" s="206">
        <f t="shared" si="11"/>
        <v>40</v>
      </c>
      <c r="C59" s="208"/>
      <c r="D59" s="232" t="s">
        <v>600</v>
      </c>
      <c r="E59" s="776">
        <f t="shared" ref="E59:P59" si="15">E33-E54-E55</f>
        <v>9556</v>
      </c>
      <c r="F59" s="776">
        <f t="shared" si="15"/>
        <v>7764</v>
      </c>
      <c r="G59" s="776">
        <f t="shared" si="15"/>
        <v>6428</v>
      </c>
      <c r="H59" s="776">
        <f t="shared" si="15"/>
        <v>6076</v>
      </c>
      <c r="I59" s="776">
        <f t="shared" si="15"/>
        <v>9276</v>
      </c>
      <c r="J59" s="776">
        <f t="shared" si="15"/>
        <v>9984</v>
      </c>
      <c r="K59" s="776">
        <f t="shared" si="15"/>
        <v>10460</v>
      </c>
      <c r="L59" s="776">
        <f t="shared" si="15"/>
        <v>9668</v>
      </c>
      <c r="M59" s="776">
        <f t="shared" si="15"/>
        <v>9515</v>
      </c>
      <c r="N59" s="776">
        <f t="shared" si="15"/>
        <v>8520</v>
      </c>
      <c r="O59" s="776">
        <f t="shared" si="15"/>
        <v>7658</v>
      </c>
      <c r="P59" s="776">
        <f t="shared" si="15"/>
        <v>7612</v>
      </c>
      <c r="Q59" s="764">
        <f>SUM(E59:P59)/12</f>
        <v>8543.0833333333339</v>
      </c>
      <c r="R59" s="771"/>
      <c r="S59" s="765"/>
    </row>
    <row r="60" spans="1:19" ht="13.5" thickTop="1">
      <c r="A60" s="206"/>
      <c r="C60" s="208"/>
      <c r="D60" s="232"/>
      <c r="E60" s="768"/>
      <c r="F60" s="768"/>
      <c r="G60" s="768"/>
      <c r="H60" s="768"/>
      <c r="I60" s="768"/>
      <c r="J60" s="768"/>
      <c r="K60" s="768"/>
      <c r="L60" s="768"/>
      <c r="M60" s="768"/>
      <c r="N60" s="768"/>
      <c r="O60" s="768"/>
      <c r="P60" s="768"/>
      <c r="Q60" s="777"/>
      <c r="R60" s="771"/>
      <c r="S60" s="765"/>
    </row>
    <row r="61" spans="1:19">
      <c r="A61" s="206"/>
      <c r="B61" s="233" t="s">
        <v>933</v>
      </c>
      <c r="I61" s="208"/>
      <c r="J61" s="208"/>
      <c r="K61" s="208"/>
      <c r="L61" s="208"/>
      <c r="M61" s="208"/>
      <c r="N61" s="208"/>
      <c r="O61" s="208"/>
      <c r="P61" s="208"/>
    </row>
    <row r="62" spans="1:19" ht="13.5" customHeight="1">
      <c r="C62" s="266" t="s">
        <v>934</v>
      </c>
      <c r="D62" s="267"/>
      <c r="E62" s="253"/>
      <c r="F62" s="253"/>
      <c r="G62" s="253"/>
      <c r="H62" s="253"/>
      <c r="I62" s="253"/>
      <c r="J62" s="253"/>
      <c r="K62" s="253"/>
      <c r="L62" s="253"/>
      <c r="M62" s="253"/>
      <c r="N62" s="253"/>
      <c r="O62" s="253"/>
    </row>
    <row r="63" spans="1:19">
      <c r="A63" s="206"/>
      <c r="C63" s="268" t="s">
        <v>935</v>
      </c>
      <c r="D63"/>
    </row>
    <row r="64" spans="1:19">
      <c r="A64" s="206"/>
      <c r="C64" s="268" t="s">
        <v>936</v>
      </c>
      <c r="D64"/>
    </row>
    <row r="65" spans="1:18">
      <c r="C65" s="268" t="s">
        <v>937</v>
      </c>
      <c r="D65" s="268"/>
      <c r="Q65" s="223"/>
      <c r="R65" s="205"/>
    </row>
    <row r="66" spans="1:18">
      <c r="A66" s="206"/>
      <c r="C66" s="268" t="s">
        <v>938</v>
      </c>
      <c r="D66"/>
      <c r="Q66" s="223"/>
      <c r="R66" s="205"/>
    </row>
    <row r="67" spans="1:18">
      <c r="A67" s="206"/>
      <c r="Q67" s="223"/>
      <c r="R67" s="205"/>
    </row>
    <row r="69" spans="1:18">
      <c r="A69" s="206"/>
      <c r="Q69" s="223"/>
    </row>
  </sheetData>
  <pageMargins left="0.5" right="0.5" top="0.6" bottom="0.5" header="0.5" footer="0.28999999999999998"/>
  <pageSetup scale="50"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40" zoomScale="90" zoomScaleNormal="90" zoomScaleSheetLayoutView="80" zoomScalePageLayoutView="85" workbookViewId="0">
      <selection activeCell="A40" sqref="A1:XFD1048576"/>
    </sheetView>
  </sheetViews>
  <sheetFormatPr defaultColWidth="11.42578125" defaultRowHeight="12.75"/>
  <cols>
    <col min="1" max="1" width="10.28515625" style="2306" customWidth="1"/>
    <col min="2" max="2" width="52.28515625" style="2277" customWidth="1"/>
    <col min="3" max="7" width="20.28515625" style="2277" customWidth="1"/>
    <col min="8" max="8" width="23" style="2277" customWidth="1"/>
    <col min="9" max="11" width="20.28515625" style="2277" customWidth="1"/>
    <col min="12" max="12" width="20" style="2277" customWidth="1"/>
    <col min="13" max="14" width="15.140625" style="2277" customWidth="1"/>
    <col min="15" max="256" width="11.42578125" style="2277"/>
    <col min="257" max="257" width="10.28515625" style="2277" customWidth="1"/>
    <col min="258" max="258" width="52.28515625" style="2277" customWidth="1"/>
    <col min="259" max="263" width="20.28515625" style="2277" customWidth="1"/>
    <col min="264" max="264" width="23" style="2277" customWidth="1"/>
    <col min="265" max="267" width="20.28515625" style="2277" customWidth="1"/>
    <col min="268" max="268" width="20" style="2277" customWidth="1"/>
    <col min="269" max="270" width="15.140625" style="2277" customWidth="1"/>
    <col min="271" max="512" width="11.42578125" style="2277"/>
    <col min="513" max="513" width="10.28515625" style="2277" customWidth="1"/>
    <col min="514" max="514" width="52.28515625" style="2277" customWidth="1"/>
    <col min="515" max="519" width="20.28515625" style="2277" customWidth="1"/>
    <col min="520" max="520" width="23" style="2277" customWidth="1"/>
    <col min="521" max="523" width="20.28515625" style="2277" customWidth="1"/>
    <col min="524" max="524" width="20" style="2277" customWidth="1"/>
    <col min="525" max="526" width="15.140625" style="2277" customWidth="1"/>
    <col min="527" max="768" width="11.42578125" style="2277"/>
    <col min="769" max="769" width="10.28515625" style="2277" customWidth="1"/>
    <col min="770" max="770" width="52.28515625" style="2277" customWidth="1"/>
    <col min="771" max="775" width="20.28515625" style="2277" customWidth="1"/>
    <col min="776" max="776" width="23" style="2277" customWidth="1"/>
    <col min="777" max="779" width="20.28515625" style="2277" customWidth="1"/>
    <col min="780" max="780" width="20" style="2277" customWidth="1"/>
    <col min="781" max="782" width="15.140625" style="2277" customWidth="1"/>
    <col min="783" max="1024" width="11.42578125" style="2277"/>
    <col min="1025" max="1025" width="10.28515625" style="2277" customWidth="1"/>
    <col min="1026" max="1026" width="52.28515625" style="2277" customWidth="1"/>
    <col min="1027" max="1031" width="20.28515625" style="2277" customWidth="1"/>
    <col min="1032" max="1032" width="23" style="2277" customWidth="1"/>
    <col min="1033" max="1035" width="20.28515625" style="2277" customWidth="1"/>
    <col min="1036" max="1036" width="20" style="2277" customWidth="1"/>
    <col min="1037" max="1038" width="15.140625" style="2277" customWidth="1"/>
    <col min="1039" max="1280" width="11.42578125" style="2277"/>
    <col min="1281" max="1281" width="10.28515625" style="2277" customWidth="1"/>
    <col min="1282" max="1282" width="52.28515625" style="2277" customWidth="1"/>
    <col min="1283" max="1287" width="20.28515625" style="2277" customWidth="1"/>
    <col min="1288" max="1288" width="23" style="2277" customWidth="1"/>
    <col min="1289" max="1291" width="20.28515625" style="2277" customWidth="1"/>
    <col min="1292" max="1292" width="20" style="2277" customWidth="1"/>
    <col min="1293" max="1294" width="15.140625" style="2277" customWidth="1"/>
    <col min="1295" max="1536" width="11.42578125" style="2277"/>
    <col min="1537" max="1537" width="10.28515625" style="2277" customWidth="1"/>
    <col min="1538" max="1538" width="52.28515625" style="2277" customWidth="1"/>
    <col min="1539" max="1543" width="20.28515625" style="2277" customWidth="1"/>
    <col min="1544" max="1544" width="23" style="2277" customWidth="1"/>
    <col min="1545" max="1547" width="20.28515625" style="2277" customWidth="1"/>
    <col min="1548" max="1548" width="20" style="2277" customWidth="1"/>
    <col min="1549" max="1550" width="15.140625" style="2277" customWidth="1"/>
    <col min="1551" max="1792" width="11.42578125" style="2277"/>
    <col min="1793" max="1793" width="10.28515625" style="2277" customWidth="1"/>
    <col min="1794" max="1794" width="52.28515625" style="2277" customWidth="1"/>
    <col min="1795" max="1799" width="20.28515625" style="2277" customWidth="1"/>
    <col min="1800" max="1800" width="23" style="2277" customWidth="1"/>
    <col min="1801" max="1803" width="20.28515625" style="2277" customWidth="1"/>
    <col min="1804" max="1804" width="20" style="2277" customWidth="1"/>
    <col min="1805" max="1806" width="15.140625" style="2277" customWidth="1"/>
    <col min="1807" max="2048" width="11.42578125" style="2277"/>
    <col min="2049" max="2049" width="10.28515625" style="2277" customWidth="1"/>
    <col min="2050" max="2050" width="52.28515625" style="2277" customWidth="1"/>
    <col min="2051" max="2055" width="20.28515625" style="2277" customWidth="1"/>
    <col min="2056" max="2056" width="23" style="2277" customWidth="1"/>
    <col min="2057" max="2059" width="20.28515625" style="2277" customWidth="1"/>
    <col min="2060" max="2060" width="20" style="2277" customWidth="1"/>
    <col min="2061" max="2062" width="15.140625" style="2277" customWidth="1"/>
    <col min="2063" max="2304" width="11.42578125" style="2277"/>
    <col min="2305" max="2305" width="10.28515625" style="2277" customWidth="1"/>
    <col min="2306" max="2306" width="52.28515625" style="2277" customWidth="1"/>
    <col min="2307" max="2311" width="20.28515625" style="2277" customWidth="1"/>
    <col min="2312" max="2312" width="23" style="2277" customWidth="1"/>
    <col min="2313" max="2315" width="20.28515625" style="2277" customWidth="1"/>
    <col min="2316" max="2316" width="20" style="2277" customWidth="1"/>
    <col min="2317" max="2318" width="15.140625" style="2277" customWidth="1"/>
    <col min="2319" max="2560" width="11.42578125" style="2277"/>
    <col min="2561" max="2561" width="10.28515625" style="2277" customWidth="1"/>
    <col min="2562" max="2562" width="52.28515625" style="2277" customWidth="1"/>
    <col min="2563" max="2567" width="20.28515625" style="2277" customWidth="1"/>
    <col min="2568" max="2568" width="23" style="2277" customWidth="1"/>
    <col min="2569" max="2571" width="20.28515625" style="2277" customWidth="1"/>
    <col min="2572" max="2572" width="20" style="2277" customWidth="1"/>
    <col min="2573" max="2574" width="15.140625" style="2277" customWidth="1"/>
    <col min="2575" max="2816" width="11.42578125" style="2277"/>
    <col min="2817" max="2817" width="10.28515625" style="2277" customWidth="1"/>
    <col min="2818" max="2818" width="52.28515625" style="2277" customWidth="1"/>
    <col min="2819" max="2823" width="20.28515625" style="2277" customWidth="1"/>
    <col min="2824" max="2824" width="23" style="2277" customWidth="1"/>
    <col min="2825" max="2827" width="20.28515625" style="2277" customWidth="1"/>
    <col min="2828" max="2828" width="20" style="2277" customWidth="1"/>
    <col min="2829" max="2830" width="15.140625" style="2277" customWidth="1"/>
    <col min="2831" max="3072" width="11.42578125" style="2277"/>
    <col min="3073" max="3073" width="10.28515625" style="2277" customWidth="1"/>
    <col min="3074" max="3074" width="52.28515625" style="2277" customWidth="1"/>
    <col min="3075" max="3079" width="20.28515625" style="2277" customWidth="1"/>
    <col min="3080" max="3080" width="23" style="2277" customWidth="1"/>
    <col min="3081" max="3083" width="20.28515625" style="2277" customWidth="1"/>
    <col min="3084" max="3084" width="20" style="2277" customWidth="1"/>
    <col min="3085" max="3086" width="15.140625" style="2277" customWidth="1"/>
    <col min="3087" max="3328" width="11.42578125" style="2277"/>
    <col min="3329" max="3329" width="10.28515625" style="2277" customWidth="1"/>
    <col min="3330" max="3330" width="52.28515625" style="2277" customWidth="1"/>
    <col min="3331" max="3335" width="20.28515625" style="2277" customWidth="1"/>
    <col min="3336" max="3336" width="23" style="2277" customWidth="1"/>
    <col min="3337" max="3339" width="20.28515625" style="2277" customWidth="1"/>
    <col min="3340" max="3340" width="20" style="2277" customWidth="1"/>
    <col min="3341" max="3342" width="15.140625" style="2277" customWidth="1"/>
    <col min="3343" max="3584" width="11.42578125" style="2277"/>
    <col min="3585" max="3585" width="10.28515625" style="2277" customWidth="1"/>
    <col min="3586" max="3586" width="52.28515625" style="2277" customWidth="1"/>
    <col min="3587" max="3591" width="20.28515625" style="2277" customWidth="1"/>
    <col min="3592" max="3592" width="23" style="2277" customWidth="1"/>
    <col min="3593" max="3595" width="20.28515625" style="2277" customWidth="1"/>
    <col min="3596" max="3596" width="20" style="2277" customWidth="1"/>
    <col min="3597" max="3598" width="15.140625" style="2277" customWidth="1"/>
    <col min="3599" max="3840" width="11.42578125" style="2277"/>
    <col min="3841" max="3841" width="10.28515625" style="2277" customWidth="1"/>
    <col min="3842" max="3842" width="52.28515625" style="2277" customWidth="1"/>
    <col min="3843" max="3847" width="20.28515625" style="2277" customWidth="1"/>
    <col min="3848" max="3848" width="23" style="2277" customWidth="1"/>
    <col min="3849" max="3851" width="20.28515625" style="2277" customWidth="1"/>
    <col min="3852" max="3852" width="20" style="2277" customWidth="1"/>
    <col min="3853" max="3854" width="15.140625" style="2277" customWidth="1"/>
    <col min="3855" max="4096" width="11.42578125" style="2277"/>
    <col min="4097" max="4097" width="10.28515625" style="2277" customWidth="1"/>
    <col min="4098" max="4098" width="52.28515625" style="2277" customWidth="1"/>
    <col min="4099" max="4103" width="20.28515625" style="2277" customWidth="1"/>
    <col min="4104" max="4104" width="23" style="2277" customWidth="1"/>
    <col min="4105" max="4107" width="20.28515625" style="2277" customWidth="1"/>
    <col min="4108" max="4108" width="20" style="2277" customWidth="1"/>
    <col min="4109" max="4110" width="15.140625" style="2277" customWidth="1"/>
    <col min="4111" max="4352" width="11.42578125" style="2277"/>
    <col min="4353" max="4353" width="10.28515625" style="2277" customWidth="1"/>
    <col min="4354" max="4354" width="52.28515625" style="2277" customWidth="1"/>
    <col min="4355" max="4359" width="20.28515625" style="2277" customWidth="1"/>
    <col min="4360" max="4360" width="23" style="2277" customWidth="1"/>
    <col min="4361" max="4363" width="20.28515625" style="2277" customWidth="1"/>
    <col min="4364" max="4364" width="20" style="2277" customWidth="1"/>
    <col min="4365" max="4366" width="15.140625" style="2277" customWidth="1"/>
    <col min="4367" max="4608" width="11.42578125" style="2277"/>
    <col min="4609" max="4609" width="10.28515625" style="2277" customWidth="1"/>
    <col min="4610" max="4610" width="52.28515625" style="2277" customWidth="1"/>
    <col min="4611" max="4615" width="20.28515625" style="2277" customWidth="1"/>
    <col min="4616" max="4616" width="23" style="2277" customWidth="1"/>
    <col min="4617" max="4619" width="20.28515625" style="2277" customWidth="1"/>
    <col min="4620" max="4620" width="20" style="2277" customWidth="1"/>
    <col min="4621" max="4622" width="15.140625" style="2277" customWidth="1"/>
    <col min="4623" max="4864" width="11.42578125" style="2277"/>
    <col min="4865" max="4865" width="10.28515625" style="2277" customWidth="1"/>
    <col min="4866" max="4866" width="52.28515625" style="2277" customWidth="1"/>
    <col min="4867" max="4871" width="20.28515625" style="2277" customWidth="1"/>
    <col min="4872" max="4872" width="23" style="2277" customWidth="1"/>
    <col min="4873" max="4875" width="20.28515625" style="2277" customWidth="1"/>
    <col min="4876" max="4876" width="20" style="2277" customWidth="1"/>
    <col min="4877" max="4878" width="15.140625" style="2277" customWidth="1"/>
    <col min="4879" max="5120" width="11.42578125" style="2277"/>
    <col min="5121" max="5121" width="10.28515625" style="2277" customWidth="1"/>
    <col min="5122" max="5122" width="52.28515625" style="2277" customWidth="1"/>
    <col min="5123" max="5127" width="20.28515625" style="2277" customWidth="1"/>
    <col min="5128" max="5128" width="23" style="2277" customWidth="1"/>
    <col min="5129" max="5131" width="20.28515625" style="2277" customWidth="1"/>
    <col min="5132" max="5132" width="20" style="2277" customWidth="1"/>
    <col min="5133" max="5134" width="15.140625" style="2277" customWidth="1"/>
    <col min="5135" max="5376" width="11.42578125" style="2277"/>
    <col min="5377" max="5377" width="10.28515625" style="2277" customWidth="1"/>
    <col min="5378" max="5378" width="52.28515625" style="2277" customWidth="1"/>
    <col min="5379" max="5383" width="20.28515625" style="2277" customWidth="1"/>
    <col min="5384" max="5384" width="23" style="2277" customWidth="1"/>
    <col min="5385" max="5387" width="20.28515625" style="2277" customWidth="1"/>
    <col min="5388" max="5388" width="20" style="2277" customWidth="1"/>
    <col min="5389" max="5390" width="15.140625" style="2277" customWidth="1"/>
    <col min="5391" max="5632" width="11.42578125" style="2277"/>
    <col min="5633" max="5633" width="10.28515625" style="2277" customWidth="1"/>
    <col min="5634" max="5634" width="52.28515625" style="2277" customWidth="1"/>
    <col min="5635" max="5639" width="20.28515625" style="2277" customWidth="1"/>
    <col min="5640" max="5640" width="23" style="2277" customWidth="1"/>
    <col min="5641" max="5643" width="20.28515625" style="2277" customWidth="1"/>
    <col min="5644" max="5644" width="20" style="2277" customWidth="1"/>
    <col min="5645" max="5646" width="15.140625" style="2277" customWidth="1"/>
    <col min="5647" max="5888" width="11.42578125" style="2277"/>
    <col min="5889" max="5889" width="10.28515625" style="2277" customWidth="1"/>
    <col min="5890" max="5890" width="52.28515625" style="2277" customWidth="1"/>
    <col min="5891" max="5895" width="20.28515625" style="2277" customWidth="1"/>
    <col min="5896" max="5896" width="23" style="2277" customWidth="1"/>
    <col min="5897" max="5899" width="20.28515625" style="2277" customWidth="1"/>
    <col min="5900" max="5900" width="20" style="2277" customWidth="1"/>
    <col min="5901" max="5902" width="15.140625" style="2277" customWidth="1"/>
    <col min="5903" max="6144" width="11.42578125" style="2277"/>
    <col min="6145" max="6145" width="10.28515625" style="2277" customWidth="1"/>
    <col min="6146" max="6146" width="52.28515625" style="2277" customWidth="1"/>
    <col min="6147" max="6151" width="20.28515625" style="2277" customWidth="1"/>
    <col min="6152" max="6152" width="23" style="2277" customWidth="1"/>
    <col min="6153" max="6155" width="20.28515625" style="2277" customWidth="1"/>
    <col min="6156" max="6156" width="20" style="2277" customWidth="1"/>
    <col min="6157" max="6158" width="15.140625" style="2277" customWidth="1"/>
    <col min="6159" max="6400" width="11.42578125" style="2277"/>
    <col min="6401" max="6401" width="10.28515625" style="2277" customWidth="1"/>
    <col min="6402" max="6402" width="52.28515625" style="2277" customWidth="1"/>
    <col min="6403" max="6407" width="20.28515625" style="2277" customWidth="1"/>
    <col min="6408" max="6408" width="23" style="2277" customWidth="1"/>
    <col min="6409" max="6411" width="20.28515625" style="2277" customWidth="1"/>
    <col min="6412" max="6412" width="20" style="2277" customWidth="1"/>
    <col min="6413" max="6414" width="15.140625" style="2277" customWidth="1"/>
    <col min="6415" max="6656" width="11.42578125" style="2277"/>
    <col min="6657" max="6657" width="10.28515625" style="2277" customWidth="1"/>
    <col min="6658" max="6658" width="52.28515625" style="2277" customWidth="1"/>
    <col min="6659" max="6663" width="20.28515625" style="2277" customWidth="1"/>
    <col min="6664" max="6664" width="23" style="2277" customWidth="1"/>
    <col min="6665" max="6667" width="20.28515625" style="2277" customWidth="1"/>
    <col min="6668" max="6668" width="20" style="2277" customWidth="1"/>
    <col min="6669" max="6670" width="15.140625" style="2277" customWidth="1"/>
    <col min="6671" max="6912" width="11.42578125" style="2277"/>
    <col min="6913" max="6913" width="10.28515625" style="2277" customWidth="1"/>
    <col min="6914" max="6914" width="52.28515625" style="2277" customWidth="1"/>
    <col min="6915" max="6919" width="20.28515625" style="2277" customWidth="1"/>
    <col min="6920" max="6920" width="23" style="2277" customWidth="1"/>
    <col min="6921" max="6923" width="20.28515625" style="2277" customWidth="1"/>
    <col min="6924" max="6924" width="20" style="2277" customWidth="1"/>
    <col min="6925" max="6926" width="15.140625" style="2277" customWidth="1"/>
    <col min="6927" max="7168" width="11.42578125" style="2277"/>
    <col min="7169" max="7169" width="10.28515625" style="2277" customWidth="1"/>
    <col min="7170" max="7170" width="52.28515625" style="2277" customWidth="1"/>
    <col min="7171" max="7175" width="20.28515625" style="2277" customWidth="1"/>
    <col min="7176" max="7176" width="23" style="2277" customWidth="1"/>
    <col min="7177" max="7179" width="20.28515625" style="2277" customWidth="1"/>
    <col min="7180" max="7180" width="20" style="2277" customWidth="1"/>
    <col min="7181" max="7182" width="15.140625" style="2277" customWidth="1"/>
    <col min="7183" max="7424" width="11.42578125" style="2277"/>
    <col min="7425" max="7425" width="10.28515625" style="2277" customWidth="1"/>
    <col min="7426" max="7426" width="52.28515625" style="2277" customWidth="1"/>
    <col min="7427" max="7431" width="20.28515625" style="2277" customWidth="1"/>
    <col min="7432" max="7432" width="23" style="2277" customWidth="1"/>
    <col min="7433" max="7435" width="20.28515625" style="2277" customWidth="1"/>
    <col min="7436" max="7436" width="20" style="2277" customWidth="1"/>
    <col min="7437" max="7438" width="15.140625" style="2277" customWidth="1"/>
    <col min="7439" max="7680" width="11.42578125" style="2277"/>
    <col min="7681" max="7681" width="10.28515625" style="2277" customWidth="1"/>
    <col min="7682" max="7682" width="52.28515625" style="2277" customWidth="1"/>
    <col min="7683" max="7687" width="20.28515625" style="2277" customWidth="1"/>
    <col min="7688" max="7688" width="23" style="2277" customWidth="1"/>
    <col min="7689" max="7691" width="20.28515625" style="2277" customWidth="1"/>
    <col min="7692" max="7692" width="20" style="2277" customWidth="1"/>
    <col min="7693" max="7694" width="15.140625" style="2277" customWidth="1"/>
    <col min="7695" max="7936" width="11.42578125" style="2277"/>
    <col min="7937" max="7937" width="10.28515625" style="2277" customWidth="1"/>
    <col min="7938" max="7938" width="52.28515625" style="2277" customWidth="1"/>
    <col min="7939" max="7943" width="20.28515625" style="2277" customWidth="1"/>
    <col min="7944" max="7944" width="23" style="2277" customWidth="1"/>
    <col min="7945" max="7947" width="20.28515625" style="2277" customWidth="1"/>
    <col min="7948" max="7948" width="20" style="2277" customWidth="1"/>
    <col min="7949" max="7950" width="15.140625" style="2277" customWidth="1"/>
    <col min="7951" max="8192" width="11.42578125" style="2277"/>
    <col min="8193" max="8193" width="10.28515625" style="2277" customWidth="1"/>
    <col min="8194" max="8194" width="52.28515625" style="2277" customWidth="1"/>
    <col min="8195" max="8199" width="20.28515625" style="2277" customWidth="1"/>
    <col min="8200" max="8200" width="23" style="2277" customWidth="1"/>
    <col min="8201" max="8203" width="20.28515625" style="2277" customWidth="1"/>
    <col min="8204" max="8204" width="20" style="2277" customWidth="1"/>
    <col min="8205" max="8206" width="15.140625" style="2277" customWidth="1"/>
    <col min="8207" max="8448" width="11.42578125" style="2277"/>
    <col min="8449" max="8449" width="10.28515625" style="2277" customWidth="1"/>
    <col min="8450" max="8450" width="52.28515625" style="2277" customWidth="1"/>
    <col min="8451" max="8455" width="20.28515625" style="2277" customWidth="1"/>
    <col min="8456" max="8456" width="23" style="2277" customWidth="1"/>
    <col min="8457" max="8459" width="20.28515625" style="2277" customWidth="1"/>
    <col min="8460" max="8460" width="20" style="2277" customWidth="1"/>
    <col min="8461" max="8462" width="15.140625" style="2277" customWidth="1"/>
    <col min="8463" max="8704" width="11.42578125" style="2277"/>
    <col min="8705" max="8705" width="10.28515625" style="2277" customWidth="1"/>
    <col min="8706" max="8706" width="52.28515625" style="2277" customWidth="1"/>
    <col min="8707" max="8711" width="20.28515625" style="2277" customWidth="1"/>
    <col min="8712" max="8712" width="23" style="2277" customWidth="1"/>
    <col min="8713" max="8715" width="20.28515625" style="2277" customWidth="1"/>
    <col min="8716" max="8716" width="20" style="2277" customWidth="1"/>
    <col min="8717" max="8718" width="15.140625" style="2277" customWidth="1"/>
    <col min="8719" max="8960" width="11.42578125" style="2277"/>
    <col min="8961" max="8961" width="10.28515625" style="2277" customWidth="1"/>
    <col min="8962" max="8962" width="52.28515625" style="2277" customWidth="1"/>
    <col min="8963" max="8967" width="20.28515625" style="2277" customWidth="1"/>
    <col min="8968" max="8968" width="23" style="2277" customWidth="1"/>
    <col min="8969" max="8971" width="20.28515625" style="2277" customWidth="1"/>
    <col min="8972" max="8972" width="20" style="2277" customWidth="1"/>
    <col min="8973" max="8974" width="15.140625" style="2277" customWidth="1"/>
    <col min="8975" max="9216" width="11.42578125" style="2277"/>
    <col min="9217" max="9217" width="10.28515625" style="2277" customWidth="1"/>
    <col min="9218" max="9218" width="52.28515625" style="2277" customWidth="1"/>
    <col min="9219" max="9223" width="20.28515625" style="2277" customWidth="1"/>
    <col min="9224" max="9224" width="23" style="2277" customWidth="1"/>
    <col min="9225" max="9227" width="20.28515625" style="2277" customWidth="1"/>
    <col min="9228" max="9228" width="20" style="2277" customWidth="1"/>
    <col min="9229" max="9230" width="15.140625" style="2277" customWidth="1"/>
    <col min="9231" max="9472" width="11.42578125" style="2277"/>
    <col min="9473" max="9473" width="10.28515625" style="2277" customWidth="1"/>
    <col min="9474" max="9474" width="52.28515625" style="2277" customWidth="1"/>
    <col min="9475" max="9479" width="20.28515625" style="2277" customWidth="1"/>
    <col min="9480" max="9480" width="23" style="2277" customWidth="1"/>
    <col min="9481" max="9483" width="20.28515625" style="2277" customWidth="1"/>
    <col min="9484" max="9484" width="20" style="2277" customWidth="1"/>
    <col min="9485" max="9486" width="15.140625" style="2277" customWidth="1"/>
    <col min="9487" max="9728" width="11.42578125" style="2277"/>
    <col min="9729" max="9729" width="10.28515625" style="2277" customWidth="1"/>
    <col min="9730" max="9730" width="52.28515625" style="2277" customWidth="1"/>
    <col min="9731" max="9735" width="20.28515625" style="2277" customWidth="1"/>
    <col min="9736" max="9736" width="23" style="2277" customWidth="1"/>
    <col min="9737" max="9739" width="20.28515625" style="2277" customWidth="1"/>
    <col min="9740" max="9740" width="20" style="2277" customWidth="1"/>
    <col min="9741" max="9742" width="15.140625" style="2277" customWidth="1"/>
    <col min="9743" max="9984" width="11.42578125" style="2277"/>
    <col min="9985" max="9985" width="10.28515625" style="2277" customWidth="1"/>
    <col min="9986" max="9986" width="52.28515625" style="2277" customWidth="1"/>
    <col min="9987" max="9991" width="20.28515625" style="2277" customWidth="1"/>
    <col min="9992" max="9992" width="23" style="2277" customWidth="1"/>
    <col min="9993" max="9995" width="20.28515625" style="2277" customWidth="1"/>
    <col min="9996" max="9996" width="20" style="2277" customWidth="1"/>
    <col min="9997" max="9998" width="15.140625" style="2277" customWidth="1"/>
    <col min="9999" max="10240" width="11.42578125" style="2277"/>
    <col min="10241" max="10241" width="10.28515625" style="2277" customWidth="1"/>
    <col min="10242" max="10242" width="52.28515625" style="2277" customWidth="1"/>
    <col min="10243" max="10247" width="20.28515625" style="2277" customWidth="1"/>
    <col min="10248" max="10248" width="23" style="2277" customWidth="1"/>
    <col min="10249" max="10251" width="20.28515625" style="2277" customWidth="1"/>
    <col min="10252" max="10252" width="20" style="2277" customWidth="1"/>
    <col min="10253" max="10254" width="15.140625" style="2277" customWidth="1"/>
    <col min="10255" max="10496" width="11.42578125" style="2277"/>
    <col min="10497" max="10497" width="10.28515625" style="2277" customWidth="1"/>
    <col min="10498" max="10498" width="52.28515625" style="2277" customWidth="1"/>
    <col min="10499" max="10503" width="20.28515625" style="2277" customWidth="1"/>
    <col min="10504" max="10504" width="23" style="2277" customWidth="1"/>
    <col min="10505" max="10507" width="20.28515625" style="2277" customWidth="1"/>
    <col min="10508" max="10508" width="20" style="2277" customWidth="1"/>
    <col min="10509" max="10510" width="15.140625" style="2277" customWidth="1"/>
    <col min="10511" max="10752" width="11.42578125" style="2277"/>
    <col min="10753" max="10753" width="10.28515625" style="2277" customWidth="1"/>
    <col min="10754" max="10754" width="52.28515625" style="2277" customWidth="1"/>
    <col min="10755" max="10759" width="20.28515625" style="2277" customWidth="1"/>
    <col min="10760" max="10760" width="23" style="2277" customWidth="1"/>
    <col min="10761" max="10763" width="20.28515625" style="2277" customWidth="1"/>
    <col min="10764" max="10764" width="20" style="2277" customWidth="1"/>
    <col min="10765" max="10766" width="15.140625" style="2277" customWidth="1"/>
    <col min="10767" max="11008" width="11.42578125" style="2277"/>
    <col min="11009" max="11009" width="10.28515625" style="2277" customWidth="1"/>
    <col min="11010" max="11010" width="52.28515625" style="2277" customWidth="1"/>
    <col min="11011" max="11015" width="20.28515625" style="2277" customWidth="1"/>
    <col min="11016" max="11016" width="23" style="2277" customWidth="1"/>
    <col min="11017" max="11019" width="20.28515625" style="2277" customWidth="1"/>
    <col min="11020" max="11020" width="20" style="2277" customWidth="1"/>
    <col min="11021" max="11022" width="15.140625" style="2277" customWidth="1"/>
    <col min="11023" max="11264" width="11.42578125" style="2277"/>
    <col min="11265" max="11265" width="10.28515625" style="2277" customWidth="1"/>
    <col min="11266" max="11266" width="52.28515625" style="2277" customWidth="1"/>
    <col min="11267" max="11271" width="20.28515625" style="2277" customWidth="1"/>
    <col min="11272" max="11272" width="23" style="2277" customWidth="1"/>
    <col min="11273" max="11275" width="20.28515625" style="2277" customWidth="1"/>
    <col min="11276" max="11276" width="20" style="2277" customWidth="1"/>
    <col min="11277" max="11278" width="15.140625" style="2277" customWidth="1"/>
    <col min="11279" max="11520" width="11.42578125" style="2277"/>
    <col min="11521" max="11521" width="10.28515625" style="2277" customWidth="1"/>
    <col min="11522" max="11522" width="52.28515625" style="2277" customWidth="1"/>
    <col min="11523" max="11527" width="20.28515625" style="2277" customWidth="1"/>
    <col min="11528" max="11528" width="23" style="2277" customWidth="1"/>
    <col min="11529" max="11531" width="20.28515625" style="2277" customWidth="1"/>
    <col min="11532" max="11532" width="20" style="2277" customWidth="1"/>
    <col min="11533" max="11534" width="15.140625" style="2277" customWidth="1"/>
    <col min="11535" max="11776" width="11.42578125" style="2277"/>
    <col min="11777" max="11777" width="10.28515625" style="2277" customWidth="1"/>
    <col min="11778" max="11778" width="52.28515625" style="2277" customWidth="1"/>
    <col min="11779" max="11783" width="20.28515625" style="2277" customWidth="1"/>
    <col min="11784" max="11784" width="23" style="2277" customWidth="1"/>
    <col min="11785" max="11787" width="20.28515625" style="2277" customWidth="1"/>
    <col min="11788" max="11788" width="20" style="2277" customWidth="1"/>
    <col min="11789" max="11790" width="15.140625" style="2277" customWidth="1"/>
    <col min="11791" max="12032" width="11.42578125" style="2277"/>
    <col min="12033" max="12033" width="10.28515625" style="2277" customWidth="1"/>
    <col min="12034" max="12034" width="52.28515625" style="2277" customWidth="1"/>
    <col min="12035" max="12039" width="20.28515625" style="2277" customWidth="1"/>
    <col min="12040" max="12040" width="23" style="2277" customWidth="1"/>
    <col min="12041" max="12043" width="20.28515625" style="2277" customWidth="1"/>
    <col min="12044" max="12044" width="20" style="2277" customWidth="1"/>
    <col min="12045" max="12046" width="15.140625" style="2277" customWidth="1"/>
    <col min="12047" max="12288" width="11.42578125" style="2277"/>
    <col min="12289" max="12289" width="10.28515625" style="2277" customWidth="1"/>
    <col min="12290" max="12290" width="52.28515625" style="2277" customWidth="1"/>
    <col min="12291" max="12295" width="20.28515625" style="2277" customWidth="1"/>
    <col min="12296" max="12296" width="23" style="2277" customWidth="1"/>
    <col min="12297" max="12299" width="20.28515625" style="2277" customWidth="1"/>
    <col min="12300" max="12300" width="20" style="2277" customWidth="1"/>
    <col min="12301" max="12302" width="15.140625" style="2277" customWidth="1"/>
    <col min="12303" max="12544" width="11.42578125" style="2277"/>
    <col min="12545" max="12545" width="10.28515625" style="2277" customWidth="1"/>
    <col min="12546" max="12546" width="52.28515625" style="2277" customWidth="1"/>
    <col min="12547" max="12551" width="20.28515625" style="2277" customWidth="1"/>
    <col min="12552" max="12552" width="23" style="2277" customWidth="1"/>
    <col min="12553" max="12555" width="20.28515625" style="2277" customWidth="1"/>
    <col min="12556" max="12556" width="20" style="2277" customWidth="1"/>
    <col min="12557" max="12558" width="15.140625" style="2277" customWidth="1"/>
    <col min="12559" max="12800" width="11.42578125" style="2277"/>
    <col min="12801" max="12801" width="10.28515625" style="2277" customWidth="1"/>
    <col min="12802" max="12802" width="52.28515625" style="2277" customWidth="1"/>
    <col min="12803" max="12807" width="20.28515625" style="2277" customWidth="1"/>
    <col min="12808" max="12808" width="23" style="2277" customWidth="1"/>
    <col min="12809" max="12811" width="20.28515625" style="2277" customWidth="1"/>
    <col min="12812" max="12812" width="20" style="2277" customWidth="1"/>
    <col min="12813" max="12814" width="15.140625" style="2277" customWidth="1"/>
    <col min="12815" max="13056" width="11.42578125" style="2277"/>
    <col min="13057" max="13057" width="10.28515625" style="2277" customWidth="1"/>
    <col min="13058" max="13058" width="52.28515625" style="2277" customWidth="1"/>
    <col min="13059" max="13063" width="20.28515625" style="2277" customWidth="1"/>
    <col min="13064" max="13064" width="23" style="2277" customWidth="1"/>
    <col min="13065" max="13067" width="20.28515625" style="2277" customWidth="1"/>
    <col min="13068" max="13068" width="20" style="2277" customWidth="1"/>
    <col min="13069" max="13070" width="15.140625" style="2277" customWidth="1"/>
    <col min="13071" max="13312" width="11.42578125" style="2277"/>
    <col min="13313" max="13313" width="10.28515625" style="2277" customWidth="1"/>
    <col min="13314" max="13314" width="52.28515625" style="2277" customWidth="1"/>
    <col min="13315" max="13319" width="20.28515625" style="2277" customWidth="1"/>
    <col min="13320" max="13320" width="23" style="2277" customWidth="1"/>
    <col min="13321" max="13323" width="20.28515625" style="2277" customWidth="1"/>
    <col min="13324" max="13324" width="20" style="2277" customWidth="1"/>
    <col min="13325" max="13326" width="15.140625" style="2277" customWidth="1"/>
    <col min="13327" max="13568" width="11.42578125" style="2277"/>
    <col min="13569" max="13569" width="10.28515625" style="2277" customWidth="1"/>
    <col min="13570" max="13570" width="52.28515625" style="2277" customWidth="1"/>
    <col min="13571" max="13575" width="20.28515625" style="2277" customWidth="1"/>
    <col min="13576" max="13576" width="23" style="2277" customWidth="1"/>
    <col min="13577" max="13579" width="20.28515625" style="2277" customWidth="1"/>
    <col min="13580" max="13580" width="20" style="2277" customWidth="1"/>
    <col min="13581" max="13582" width="15.140625" style="2277" customWidth="1"/>
    <col min="13583" max="13824" width="11.42578125" style="2277"/>
    <col min="13825" max="13825" width="10.28515625" style="2277" customWidth="1"/>
    <col min="13826" max="13826" width="52.28515625" style="2277" customWidth="1"/>
    <col min="13827" max="13831" width="20.28515625" style="2277" customWidth="1"/>
    <col min="13832" max="13832" width="23" style="2277" customWidth="1"/>
    <col min="13833" max="13835" width="20.28515625" style="2277" customWidth="1"/>
    <col min="13836" max="13836" width="20" style="2277" customWidth="1"/>
    <col min="13837" max="13838" width="15.140625" style="2277" customWidth="1"/>
    <col min="13839" max="14080" width="11.42578125" style="2277"/>
    <col min="14081" max="14081" width="10.28515625" style="2277" customWidth="1"/>
    <col min="14082" max="14082" width="52.28515625" style="2277" customWidth="1"/>
    <col min="14083" max="14087" width="20.28515625" style="2277" customWidth="1"/>
    <col min="14088" max="14088" width="23" style="2277" customWidth="1"/>
    <col min="14089" max="14091" width="20.28515625" style="2277" customWidth="1"/>
    <col min="14092" max="14092" width="20" style="2277" customWidth="1"/>
    <col min="14093" max="14094" width="15.140625" style="2277" customWidth="1"/>
    <col min="14095" max="14336" width="11.42578125" style="2277"/>
    <col min="14337" max="14337" width="10.28515625" style="2277" customWidth="1"/>
    <col min="14338" max="14338" width="52.28515625" style="2277" customWidth="1"/>
    <col min="14339" max="14343" width="20.28515625" style="2277" customWidth="1"/>
    <col min="14344" max="14344" width="23" style="2277" customWidth="1"/>
    <col min="14345" max="14347" width="20.28515625" style="2277" customWidth="1"/>
    <col min="14348" max="14348" width="20" style="2277" customWidth="1"/>
    <col min="14349" max="14350" width="15.140625" style="2277" customWidth="1"/>
    <col min="14351" max="14592" width="11.42578125" style="2277"/>
    <col min="14593" max="14593" width="10.28515625" style="2277" customWidth="1"/>
    <col min="14594" max="14594" width="52.28515625" style="2277" customWidth="1"/>
    <col min="14595" max="14599" width="20.28515625" style="2277" customWidth="1"/>
    <col min="14600" max="14600" width="23" style="2277" customWidth="1"/>
    <col min="14601" max="14603" width="20.28515625" style="2277" customWidth="1"/>
    <col min="14604" max="14604" width="20" style="2277" customWidth="1"/>
    <col min="14605" max="14606" width="15.140625" style="2277" customWidth="1"/>
    <col min="14607" max="14848" width="11.42578125" style="2277"/>
    <col min="14849" max="14849" width="10.28515625" style="2277" customWidth="1"/>
    <col min="14850" max="14850" width="52.28515625" style="2277" customWidth="1"/>
    <col min="14851" max="14855" width="20.28515625" style="2277" customWidth="1"/>
    <col min="14856" max="14856" width="23" style="2277" customWidth="1"/>
    <col min="14857" max="14859" width="20.28515625" style="2277" customWidth="1"/>
    <col min="14860" max="14860" width="20" style="2277" customWidth="1"/>
    <col min="14861" max="14862" width="15.140625" style="2277" customWidth="1"/>
    <col min="14863" max="15104" width="11.42578125" style="2277"/>
    <col min="15105" max="15105" width="10.28515625" style="2277" customWidth="1"/>
    <col min="15106" max="15106" width="52.28515625" style="2277" customWidth="1"/>
    <col min="15107" max="15111" width="20.28515625" style="2277" customWidth="1"/>
    <col min="15112" max="15112" width="23" style="2277" customWidth="1"/>
    <col min="15113" max="15115" width="20.28515625" style="2277" customWidth="1"/>
    <col min="15116" max="15116" width="20" style="2277" customWidth="1"/>
    <col min="15117" max="15118" width="15.140625" style="2277" customWidth="1"/>
    <col min="15119" max="15360" width="11.42578125" style="2277"/>
    <col min="15361" max="15361" width="10.28515625" style="2277" customWidth="1"/>
    <col min="15362" max="15362" width="52.28515625" style="2277" customWidth="1"/>
    <col min="15363" max="15367" width="20.28515625" style="2277" customWidth="1"/>
    <col min="15368" max="15368" width="23" style="2277" customWidth="1"/>
    <col min="15369" max="15371" width="20.28515625" style="2277" customWidth="1"/>
    <col min="15372" max="15372" width="20" style="2277" customWidth="1"/>
    <col min="15373" max="15374" width="15.140625" style="2277" customWidth="1"/>
    <col min="15375" max="15616" width="11.42578125" style="2277"/>
    <col min="15617" max="15617" width="10.28515625" style="2277" customWidth="1"/>
    <col min="15618" max="15618" width="52.28515625" style="2277" customWidth="1"/>
    <col min="15619" max="15623" width="20.28515625" style="2277" customWidth="1"/>
    <col min="15624" max="15624" width="23" style="2277" customWidth="1"/>
    <col min="15625" max="15627" width="20.28515625" style="2277" customWidth="1"/>
    <col min="15628" max="15628" width="20" style="2277" customWidth="1"/>
    <col min="15629" max="15630" width="15.140625" style="2277" customWidth="1"/>
    <col min="15631" max="15872" width="11.42578125" style="2277"/>
    <col min="15873" max="15873" width="10.28515625" style="2277" customWidth="1"/>
    <col min="15874" max="15874" width="52.28515625" style="2277" customWidth="1"/>
    <col min="15875" max="15879" width="20.28515625" style="2277" customWidth="1"/>
    <col min="15880" max="15880" width="23" style="2277" customWidth="1"/>
    <col min="15881" max="15883" width="20.28515625" style="2277" customWidth="1"/>
    <col min="15884" max="15884" width="20" style="2277" customWidth="1"/>
    <col min="15885" max="15886" width="15.140625" style="2277" customWidth="1"/>
    <col min="15887" max="16128" width="11.42578125" style="2277"/>
    <col min="16129" max="16129" width="10.28515625" style="2277" customWidth="1"/>
    <col min="16130" max="16130" width="52.28515625" style="2277" customWidth="1"/>
    <col min="16131" max="16135" width="20.28515625" style="2277" customWidth="1"/>
    <col min="16136" max="16136" width="23" style="2277" customWidth="1"/>
    <col min="16137" max="16139" width="20.28515625" style="2277" customWidth="1"/>
    <col min="16140" max="16140" width="20" style="2277" customWidth="1"/>
    <col min="16141" max="16142" width="15.140625" style="2277" customWidth="1"/>
    <col min="16143" max="16384" width="11.42578125" style="2277"/>
  </cols>
  <sheetData>
    <row r="1" spans="1:22" ht="15">
      <c r="A1" s="2227"/>
      <c r="B1" s="2228"/>
      <c r="C1" s="2228"/>
      <c r="D1" s="2228"/>
      <c r="E1" s="2229"/>
      <c r="F1" s="2230"/>
      <c r="G1" s="2230"/>
      <c r="H1" s="2230"/>
      <c r="I1" s="2230"/>
      <c r="J1" s="2230"/>
      <c r="K1" s="2230"/>
      <c r="L1" s="2230"/>
      <c r="M1" s="2230"/>
    </row>
    <row r="2" spans="1:22" ht="15">
      <c r="A2" s="2447" t="str">
        <f>+'SWEPCO TCOS'!F4</f>
        <v xml:space="preserve">AEP West SPP Member Operating Companies </v>
      </c>
      <c r="B2" s="2447"/>
      <c r="C2" s="2447"/>
      <c r="D2" s="2447"/>
      <c r="E2" s="2447"/>
      <c r="F2" s="2447"/>
      <c r="G2" s="2447"/>
      <c r="H2" s="2447"/>
      <c r="I2" s="785"/>
      <c r="J2" s="785"/>
      <c r="K2" s="785"/>
      <c r="L2" s="785"/>
      <c r="M2" s="785"/>
    </row>
    <row r="3" spans="1:22" ht="15">
      <c r="A3" s="2554" t="str">
        <f>+'SWEPCO WS A-1 - Plant'!A3</f>
        <v xml:space="preserve">Actual / Projected 2018 Rate Year Cost of Service Formula Rate </v>
      </c>
      <c r="B3" s="2554"/>
      <c r="C3" s="2554"/>
      <c r="D3" s="2554"/>
      <c r="E3" s="2554"/>
      <c r="F3" s="2554"/>
      <c r="G3" s="2554"/>
      <c r="H3" s="2554"/>
      <c r="I3" s="1706"/>
      <c r="J3" s="1706"/>
      <c r="K3" s="1706"/>
      <c r="L3" s="1706"/>
      <c r="M3" s="1706"/>
    </row>
    <row r="4" spans="1:22" ht="15.75">
      <c r="A4" s="2555" t="s">
        <v>1329</v>
      </c>
      <c r="B4" s="2555"/>
      <c r="C4" s="2555"/>
      <c r="D4" s="2555"/>
      <c r="E4" s="2555"/>
      <c r="F4" s="2555"/>
      <c r="G4" s="2555"/>
      <c r="H4" s="2555"/>
      <c r="I4" s="1706"/>
      <c r="J4" s="1706"/>
      <c r="K4" s="1706"/>
      <c r="L4" s="1706"/>
      <c r="M4" s="1706"/>
    </row>
    <row r="5" spans="1:22" ht="15.75">
      <c r="A5" s="2448" t="str">
        <f>+'SWEPCO TCOS'!F8</f>
        <v>SOUTHWESTERN ELECTRIC POWER COMPANY</v>
      </c>
      <c r="B5" s="2448"/>
      <c r="C5" s="2448"/>
      <c r="D5" s="2448"/>
      <c r="E5" s="2448"/>
      <c r="F5" s="2448"/>
      <c r="G5" s="2448"/>
      <c r="H5" s="2448"/>
      <c r="I5" s="1009"/>
      <c r="J5" s="1009"/>
      <c r="K5" s="1009"/>
      <c r="L5" s="1009"/>
      <c r="M5" s="1009"/>
    </row>
    <row r="6" spans="1:22">
      <c r="A6" s="2278"/>
      <c r="B6" s="2279"/>
      <c r="C6" s="2279"/>
      <c r="D6" s="2279"/>
      <c r="E6" s="2280"/>
      <c r="F6" s="2281"/>
      <c r="H6" s="363"/>
      <c r="I6" s="363"/>
      <c r="J6" s="363"/>
      <c r="K6" s="363"/>
      <c r="L6" s="363"/>
    </row>
    <row r="7" spans="1:22" ht="12.75" customHeight="1">
      <c r="A7" s="2282"/>
      <c r="B7" s="1710"/>
      <c r="C7" s="2557" t="s">
        <v>177</v>
      </c>
      <c r="D7" s="2558"/>
      <c r="E7" s="2558"/>
      <c r="F7" s="2558"/>
      <c r="G7" s="2559"/>
      <c r="H7" s="364"/>
      <c r="I7" s="363"/>
      <c r="J7" s="363"/>
      <c r="K7" s="363"/>
      <c r="L7" s="363"/>
    </row>
    <row r="8" spans="1:22" s="2285" customFormat="1" ht="50.25" customHeight="1">
      <c r="A8" s="2283" t="s">
        <v>1121</v>
      </c>
      <c r="B8" s="1715" t="s">
        <v>1104</v>
      </c>
      <c r="C8" s="1716" t="s">
        <v>1298</v>
      </c>
      <c r="D8" s="1717" t="s">
        <v>1299</v>
      </c>
      <c r="E8" s="1717" t="s">
        <v>1300</v>
      </c>
      <c r="F8" s="1717" t="s">
        <v>1301</v>
      </c>
      <c r="G8" s="2284" t="s">
        <v>177</v>
      </c>
      <c r="H8" s="364"/>
      <c r="I8" s="363"/>
      <c r="J8" s="363"/>
      <c r="K8" s="363"/>
      <c r="L8" s="363"/>
    </row>
    <row r="9" spans="1:22" s="2288" customFormat="1">
      <c r="A9" s="2286"/>
      <c r="B9" s="1721" t="s">
        <v>1130</v>
      </c>
      <c r="C9" s="1722" t="s">
        <v>1131</v>
      </c>
      <c r="D9" s="1723" t="s">
        <v>1132</v>
      </c>
      <c r="E9" s="1723" t="s">
        <v>1133</v>
      </c>
      <c r="F9" s="1723" t="s">
        <v>1134</v>
      </c>
      <c r="G9" s="2287" t="s">
        <v>1302</v>
      </c>
      <c r="H9" s="364"/>
      <c r="I9" s="363"/>
      <c r="J9" s="363"/>
      <c r="K9" s="363"/>
      <c r="L9" s="363"/>
    </row>
    <row r="10" spans="1:22" s="2288" customFormat="1" ht="44.25" customHeight="1">
      <c r="A10" s="2286"/>
      <c r="B10" s="1721" t="s">
        <v>1303</v>
      </c>
      <c r="C10" s="2289" t="s">
        <v>1304</v>
      </c>
      <c r="D10" s="2290" t="s">
        <v>1305</v>
      </c>
      <c r="E10" s="2290" t="s">
        <v>1306</v>
      </c>
      <c r="F10" s="2290" t="s">
        <v>1307</v>
      </c>
      <c r="G10" s="2291"/>
      <c r="H10" s="364"/>
      <c r="I10" s="363"/>
      <c r="J10" s="363"/>
      <c r="K10" s="363"/>
      <c r="L10" s="363"/>
    </row>
    <row r="11" spans="1:22">
      <c r="A11" s="2286">
        <v>1</v>
      </c>
      <c r="B11" s="1728" t="s">
        <v>1140</v>
      </c>
      <c r="C11" s="965">
        <v>2234770019</v>
      </c>
      <c r="D11" s="965">
        <v>0</v>
      </c>
      <c r="E11" s="965">
        <v>31744487</v>
      </c>
      <c r="F11" s="965">
        <v>-4015911</v>
      </c>
      <c r="G11" s="2292">
        <f t="shared" ref="G11:G23" si="0">+C11-D11-E11-F11</f>
        <v>2207041443</v>
      </c>
      <c r="H11" s="364"/>
      <c r="I11" s="700"/>
      <c r="J11" s="700"/>
      <c r="K11" s="700"/>
      <c r="L11" s="700"/>
      <c r="M11" s="700"/>
      <c r="N11" s="700"/>
      <c r="O11" s="700"/>
      <c r="P11" s="700"/>
      <c r="Q11" s="700"/>
      <c r="R11" s="700"/>
      <c r="S11" s="700"/>
      <c r="T11" s="700"/>
      <c r="U11" s="700"/>
      <c r="V11" s="700"/>
    </row>
    <row r="12" spans="1:22">
      <c r="A12" s="2286">
        <f t="shared" ref="A12:A24" si="1">+A11+1</f>
        <v>2</v>
      </c>
      <c r="B12" s="1728" t="s">
        <v>324</v>
      </c>
      <c r="C12" s="969"/>
      <c r="D12" s="969"/>
      <c r="E12" s="969"/>
      <c r="F12" s="969"/>
      <c r="G12" s="2293">
        <f t="shared" si="0"/>
        <v>0</v>
      </c>
      <c r="H12" s="364"/>
      <c r="I12" s="363"/>
      <c r="J12" s="363"/>
      <c r="K12" s="363"/>
      <c r="L12" s="363"/>
    </row>
    <row r="13" spans="1:22">
      <c r="A13" s="2286">
        <f t="shared" si="1"/>
        <v>3</v>
      </c>
      <c r="B13" s="1729" t="s">
        <v>517</v>
      </c>
      <c r="C13" s="969"/>
      <c r="D13" s="969"/>
      <c r="E13" s="969"/>
      <c r="F13" s="969"/>
      <c r="G13" s="2293">
        <f t="shared" si="0"/>
        <v>0</v>
      </c>
      <c r="H13" s="2294"/>
      <c r="I13" s="363"/>
      <c r="J13" s="2295"/>
      <c r="K13" s="363"/>
      <c r="L13" s="363"/>
    </row>
    <row r="14" spans="1:22">
      <c r="A14" s="2286">
        <f t="shared" si="1"/>
        <v>4</v>
      </c>
      <c r="B14" s="1729" t="s">
        <v>1141</v>
      </c>
      <c r="C14" s="969"/>
      <c r="D14" s="969"/>
      <c r="E14" s="969"/>
      <c r="F14" s="969"/>
      <c r="G14" s="2293">
        <f t="shared" si="0"/>
        <v>0</v>
      </c>
      <c r="H14" s="2294"/>
      <c r="I14" s="363"/>
      <c r="J14" s="2295"/>
      <c r="K14" s="363"/>
      <c r="L14" s="363"/>
    </row>
    <row r="15" spans="1:22">
      <c r="A15" s="2286">
        <f t="shared" si="1"/>
        <v>5</v>
      </c>
      <c r="B15" s="1729" t="s">
        <v>326</v>
      </c>
      <c r="C15" s="969"/>
      <c r="D15" s="969"/>
      <c r="E15" s="969"/>
      <c r="F15" s="969"/>
      <c r="G15" s="2293">
        <f t="shared" si="0"/>
        <v>0</v>
      </c>
      <c r="H15" s="364"/>
      <c r="I15" s="363"/>
      <c r="J15" s="363"/>
      <c r="K15" s="363"/>
      <c r="L15" s="363"/>
    </row>
    <row r="16" spans="1:22">
      <c r="A16" s="2286">
        <f t="shared" si="1"/>
        <v>6</v>
      </c>
      <c r="B16" s="1729" t="s">
        <v>327</v>
      </c>
      <c r="C16" s="969"/>
      <c r="D16" s="969"/>
      <c r="E16" s="969"/>
      <c r="F16" s="969"/>
      <c r="G16" s="2293">
        <f t="shared" si="0"/>
        <v>0</v>
      </c>
      <c r="H16" s="364"/>
      <c r="I16" s="363"/>
      <c r="J16" s="363"/>
      <c r="K16" s="363"/>
      <c r="L16" s="363"/>
    </row>
    <row r="17" spans="1:23">
      <c r="A17" s="2286">
        <f t="shared" si="1"/>
        <v>7</v>
      </c>
      <c r="B17" s="1729" t="s">
        <v>48</v>
      </c>
      <c r="C17" s="969"/>
      <c r="D17" s="969"/>
      <c r="E17" s="969"/>
      <c r="F17" s="969"/>
      <c r="G17" s="2293">
        <f t="shared" si="0"/>
        <v>0</v>
      </c>
      <c r="H17" s="364"/>
      <c r="I17" s="363"/>
      <c r="J17" s="363"/>
      <c r="K17" s="363"/>
      <c r="L17" s="363"/>
    </row>
    <row r="18" spans="1:23">
      <c r="A18" s="2286">
        <f t="shared" si="1"/>
        <v>8</v>
      </c>
      <c r="B18" s="1729" t="s">
        <v>328</v>
      </c>
      <c r="C18" s="969"/>
      <c r="D18" s="969"/>
      <c r="E18" s="969"/>
      <c r="F18" s="969"/>
      <c r="G18" s="2293">
        <f t="shared" si="0"/>
        <v>0</v>
      </c>
      <c r="H18" s="364"/>
      <c r="I18" s="363"/>
      <c r="J18" s="363"/>
      <c r="K18" s="363"/>
      <c r="L18" s="363"/>
    </row>
    <row r="19" spans="1:23">
      <c r="A19" s="2286">
        <f t="shared" si="1"/>
        <v>9</v>
      </c>
      <c r="B19" s="1729" t="s">
        <v>1142</v>
      </c>
      <c r="C19" s="969"/>
      <c r="D19" s="969"/>
      <c r="E19" s="969"/>
      <c r="F19" s="969"/>
      <c r="G19" s="2293">
        <f t="shared" si="0"/>
        <v>0</v>
      </c>
      <c r="H19" s="364"/>
      <c r="I19" s="363"/>
      <c r="J19" s="363"/>
      <c r="K19" s="363"/>
      <c r="L19" s="363"/>
    </row>
    <row r="20" spans="1:23">
      <c r="A20" s="2286">
        <f t="shared" si="1"/>
        <v>10</v>
      </c>
      <c r="B20" s="1729" t="s">
        <v>331</v>
      </c>
      <c r="C20" s="969"/>
      <c r="D20" s="969"/>
      <c r="E20" s="969"/>
      <c r="F20" s="969"/>
      <c r="G20" s="2293">
        <f t="shared" si="0"/>
        <v>0</v>
      </c>
      <c r="H20" s="364"/>
      <c r="I20" s="363"/>
      <c r="J20" s="363"/>
      <c r="K20" s="363"/>
      <c r="L20" s="363"/>
    </row>
    <row r="21" spans="1:23">
      <c r="A21" s="2286">
        <f t="shared" si="1"/>
        <v>11</v>
      </c>
      <c r="B21" s="1729" t="s">
        <v>518</v>
      </c>
      <c r="C21" s="969"/>
      <c r="D21" s="969"/>
      <c r="E21" s="969"/>
      <c r="F21" s="969"/>
      <c r="G21" s="2293">
        <f t="shared" si="0"/>
        <v>0</v>
      </c>
      <c r="H21" s="364"/>
      <c r="I21" s="363"/>
      <c r="J21" s="363"/>
      <c r="K21" s="363"/>
      <c r="L21" s="363"/>
    </row>
    <row r="22" spans="1:23">
      <c r="A22" s="2286">
        <f t="shared" si="1"/>
        <v>12</v>
      </c>
      <c r="B22" s="1729" t="s">
        <v>519</v>
      </c>
      <c r="C22" s="969"/>
      <c r="D22" s="969"/>
      <c r="E22" s="969"/>
      <c r="F22" s="969"/>
      <c r="G22" s="2293">
        <f t="shared" si="0"/>
        <v>0</v>
      </c>
      <c r="H22" s="364"/>
      <c r="I22" s="363"/>
      <c r="J22" s="363"/>
      <c r="K22" s="363"/>
      <c r="L22" s="363"/>
    </row>
    <row r="23" spans="1:23">
      <c r="A23" s="2296">
        <f t="shared" si="1"/>
        <v>13</v>
      </c>
      <c r="B23" s="1731" t="s">
        <v>1143</v>
      </c>
      <c r="C23" s="965">
        <v>2315250959.2229981</v>
      </c>
      <c r="D23" s="965">
        <v>0</v>
      </c>
      <c r="E23" s="965">
        <v>34451514.925999999</v>
      </c>
      <c r="F23" s="965">
        <v>-5375254.8099999996</v>
      </c>
      <c r="G23" s="2292">
        <f t="shared" si="0"/>
        <v>2286174699.106998</v>
      </c>
      <c r="H23" s="364"/>
      <c r="I23" s="363"/>
      <c r="J23" s="363"/>
      <c r="K23" s="363"/>
      <c r="L23" s="363"/>
    </row>
    <row r="24" spans="1:23" ht="13.5" thickBot="1">
      <c r="A24" s="2297">
        <f t="shared" si="1"/>
        <v>14</v>
      </c>
      <c r="B24" s="975" t="s">
        <v>1387</v>
      </c>
      <c r="C24" s="2298">
        <f>+(C11+C23)/2</f>
        <v>2275010489.1114988</v>
      </c>
      <c r="D24" s="2299">
        <f t="shared" ref="D24:G24" si="2">+(D11+D23)/2</f>
        <v>0</v>
      </c>
      <c r="E24" s="2299">
        <f t="shared" si="2"/>
        <v>33098000.963</v>
      </c>
      <c r="F24" s="2299">
        <f t="shared" si="2"/>
        <v>-4695582.9049999993</v>
      </c>
      <c r="G24" s="2300">
        <f t="shared" si="2"/>
        <v>2246608071.0534992</v>
      </c>
      <c r="H24" s="364"/>
      <c r="I24" s="363"/>
      <c r="J24" s="363"/>
      <c r="K24" s="363"/>
      <c r="L24" s="363"/>
    </row>
    <row r="25" spans="1:23" ht="13.5" thickTop="1">
      <c r="A25" s="2282"/>
      <c r="B25" s="1736"/>
      <c r="C25" s="1737"/>
      <c r="D25" s="1004"/>
      <c r="E25" s="1004"/>
      <c r="F25" s="1004"/>
      <c r="G25" s="1737"/>
      <c r="H25" s="1737"/>
      <c r="I25" s="363"/>
      <c r="J25" s="363"/>
      <c r="K25" s="363"/>
      <c r="L25" s="363"/>
    </row>
    <row r="26" spans="1:23" ht="12.75" customHeight="1">
      <c r="A26" s="2282"/>
      <c r="B26" s="1710"/>
      <c r="C26" s="2579" t="s">
        <v>1308</v>
      </c>
      <c r="D26" s="2580"/>
      <c r="E26" s="2580"/>
      <c r="F26" s="2580"/>
      <c r="G26" s="2580"/>
      <c r="H26" s="2581"/>
      <c r="I26" s="363"/>
      <c r="J26" s="363"/>
      <c r="K26" s="363"/>
      <c r="L26" s="363"/>
    </row>
    <row r="27" spans="1:23" s="2285" customFormat="1" ht="38.25">
      <c r="A27" s="2283" t="s">
        <v>1121</v>
      </c>
      <c r="B27" s="1715" t="s">
        <v>1104</v>
      </c>
      <c r="C27" s="1716" t="s">
        <v>1309</v>
      </c>
      <c r="D27" s="1717" t="s">
        <v>1310</v>
      </c>
      <c r="E27" s="1717" t="s">
        <v>1311</v>
      </c>
      <c r="F27" s="1717" t="s">
        <v>1312</v>
      </c>
      <c r="G27" s="1717" t="s">
        <v>1313</v>
      </c>
      <c r="H27" s="2284" t="s">
        <v>1314</v>
      </c>
      <c r="I27" s="363"/>
      <c r="J27" s="363"/>
      <c r="K27" s="363"/>
      <c r="L27" s="363"/>
    </row>
    <row r="28" spans="1:23" s="2288" customFormat="1">
      <c r="A28" s="2286"/>
      <c r="B28" s="1721" t="s">
        <v>1130</v>
      </c>
      <c r="C28" s="1722" t="s">
        <v>1131</v>
      </c>
      <c r="D28" s="1723" t="s">
        <v>1132</v>
      </c>
      <c r="E28" s="1723" t="s">
        <v>1133</v>
      </c>
      <c r="F28" s="1723" t="s">
        <v>1134</v>
      </c>
      <c r="G28" s="1723" t="s">
        <v>1135</v>
      </c>
      <c r="H28" s="2287" t="s">
        <v>1315</v>
      </c>
      <c r="I28" s="363"/>
      <c r="J28" s="363"/>
      <c r="K28" s="363"/>
      <c r="L28" s="363"/>
    </row>
    <row r="29" spans="1:23" s="2288" customFormat="1" ht="44.25" customHeight="1">
      <c r="A29" s="2286"/>
      <c r="B29" s="1721" t="s">
        <v>1303</v>
      </c>
      <c r="C29" s="2289" t="s">
        <v>1316</v>
      </c>
      <c r="D29" s="2290" t="s">
        <v>1317</v>
      </c>
      <c r="E29" s="2290" t="s">
        <v>1318</v>
      </c>
      <c r="F29" s="2290" t="s">
        <v>1319</v>
      </c>
      <c r="G29" s="2290" t="s">
        <v>1320</v>
      </c>
      <c r="H29" s="2301"/>
      <c r="I29" s="363"/>
      <c r="J29" s="363"/>
      <c r="K29" s="363"/>
      <c r="L29" s="363"/>
    </row>
    <row r="30" spans="1:23">
      <c r="A30" s="2286">
        <f>+A24+1</f>
        <v>15</v>
      </c>
      <c r="B30" s="1728" t="s">
        <v>1140</v>
      </c>
      <c r="C30" s="965">
        <v>0</v>
      </c>
      <c r="D30" s="965">
        <v>0</v>
      </c>
      <c r="E30" s="965">
        <v>0</v>
      </c>
      <c r="F30" s="965">
        <v>2375200000</v>
      </c>
      <c r="G30" s="965">
        <v>0</v>
      </c>
      <c r="H30" s="2292">
        <f t="shared" ref="H30:H42" si="3">+C30-D30+E30+F30-G30</f>
        <v>2375200000</v>
      </c>
      <c r="I30" s="363"/>
      <c r="J30" s="700"/>
      <c r="K30" s="700"/>
      <c r="L30" s="700"/>
      <c r="M30" s="700"/>
      <c r="N30" s="700"/>
      <c r="O30" s="700"/>
      <c r="P30" s="700"/>
      <c r="Q30" s="700"/>
      <c r="R30" s="700"/>
      <c r="S30" s="700"/>
      <c r="T30" s="700"/>
      <c r="U30" s="700"/>
      <c r="V30" s="700"/>
      <c r="W30" s="700"/>
    </row>
    <row r="31" spans="1:23">
      <c r="A31" s="2286">
        <f t="shared" ref="A31:A43" si="4">+A30+1</f>
        <v>16</v>
      </c>
      <c r="B31" s="1728" t="s">
        <v>324</v>
      </c>
      <c r="C31" s="969"/>
      <c r="D31" s="969"/>
      <c r="E31" s="969"/>
      <c r="F31" s="969"/>
      <c r="G31" s="969"/>
      <c r="H31" s="2293">
        <f t="shared" si="3"/>
        <v>0</v>
      </c>
      <c r="I31" s="363"/>
      <c r="J31" s="363"/>
      <c r="K31" s="363"/>
      <c r="L31" s="363"/>
    </row>
    <row r="32" spans="1:23">
      <c r="A32" s="2286">
        <f t="shared" si="4"/>
        <v>17</v>
      </c>
      <c r="B32" s="1729" t="s">
        <v>517</v>
      </c>
      <c r="C32" s="969"/>
      <c r="D32" s="969"/>
      <c r="E32" s="969"/>
      <c r="F32" s="969"/>
      <c r="G32" s="969"/>
      <c r="H32" s="2293">
        <f t="shared" si="3"/>
        <v>0</v>
      </c>
      <c r="I32" s="363"/>
      <c r="J32" s="363"/>
      <c r="K32" s="363"/>
      <c r="L32" s="363"/>
    </row>
    <row r="33" spans="1:12">
      <c r="A33" s="2286">
        <f t="shared" si="4"/>
        <v>18</v>
      </c>
      <c r="B33" s="1729" t="s">
        <v>1141</v>
      </c>
      <c r="C33" s="969"/>
      <c r="D33" s="969"/>
      <c r="E33" s="969"/>
      <c r="F33" s="969"/>
      <c r="G33" s="969"/>
      <c r="H33" s="2293">
        <f t="shared" si="3"/>
        <v>0</v>
      </c>
      <c r="I33" s="363"/>
      <c r="J33" s="363"/>
      <c r="K33" s="363"/>
      <c r="L33" s="363"/>
    </row>
    <row r="34" spans="1:12">
      <c r="A34" s="2286">
        <f t="shared" si="4"/>
        <v>19</v>
      </c>
      <c r="B34" s="1729" t="s">
        <v>326</v>
      </c>
      <c r="C34" s="969"/>
      <c r="D34" s="969"/>
      <c r="E34" s="969"/>
      <c r="F34" s="969"/>
      <c r="G34" s="969"/>
      <c r="H34" s="2293">
        <f t="shared" si="3"/>
        <v>0</v>
      </c>
      <c r="I34" s="363"/>
      <c r="J34" s="363"/>
      <c r="K34" s="363"/>
      <c r="L34" s="363"/>
    </row>
    <row r="35" spans="1:12">
      <c r="A35" s="2286">
        <f t="shared" si="4"/>
        <v>20</v>
      </c>
      <c r="B35" s="1729" t="s">
        <v>327</v>
      </c>
      <c r="C35" s="969"/>
      <c r="D35" s="969"/>
      <c r="E35" s="969"/>
      <c r="F35" s="969"/>
      <c r="G35" s="969"/>
      <c r="H35" s="2293">
        <f t="shared" si="3"/>
        <v>0</v>
      </c>
      <c r="I35" s="363"/>
      <c r="J35" s="363"/>
      <c r="K35" s="363"/>
      <c r="L35" s="363"/>
    </row>
    <row r="36" spans="1:12">
      <c r="A36" s="2286">
        <f t="shared" si="4"/>
        <v>21</v>
      </c>
      <c r="B36" s="1729" t="s">
        <v>48</v>
      </c>
      <c r="C36" s="969"/>
      <c r="D36" s="969"/>
      <c r="E36" s="969"/>
      <c r="F36" s="969"/>
      <c r="G36" s="969"/>
      <c r="H36" s="2293">
        <f t="shared" si="3"/>
        <v>0</v>
      </c>
      <c r="I36" s="363"/>
      <c r="J36" s="363"/>
      <c r="K36" s="363"/>
      <c r="L36" s="363"/>
    </row>
    <row r="37" spans="1:12">
      <c r="A37" s="2286">
        <f t="shared" si="4"/>
        <v>22</v>
      </c>
      <c r="B37" s="1729" t="s">
        <v>328</v>
      </c>
      <c r="C37" s="969"/>
      <c r="D37" s="969"/>
      <c r="E37" s="969"/>
      <c r="F37" s="969"/>
      <c r="G37" s="969"/>
      <c r="H37" s="2293">
        <f t="shared" si="3"/>
        <v>0</v>
      </c>
      <c r="I37" s="363"/>
      <c r="J37" s="363"/>
      <c r="K37" s="2295"/>
      <c r="L37" s="363"/>
    </row>
    <row r="38" spans="1:12">
      <c r="A38" s="2286">
        <f t="shared" si="4"/>
        <v>23</v>
      </c>
      <c r="B38" s="1729" t="s">
        <v>1142</v>
      </c>
      <c r="C38" s="969"/>
      <c r="D38" s="969"/>
      <c r="E38" s="969"/>
      <c r="F38" s="969"/>
      <c r="G38" s="969"/>
      <c r="H38" s="2293">
        <f t="shared" si="3"/>
        <v>0</v>
      </c>
      <c r="I38" s="363"/>
      <c r="J38" s="363"/>
      <c r="K38" s="363"/>
      <c r="L38" s="363"/>
    </row>
    <row r="39" spans="1:12">
      <c r="A39" s="2286">
        <f t="shared" si="4"/>
        <v>24</v>
      </c>
      <c r="B39" s="1729" t="s">
        <v>331</v>
      </c>
      <c r="C39" s="969"/>
      <c r="D39" s="969"/>
      <c r="E39" s="969"/>
      <c r="F39" s="969"/>
      <c r="G39" s="969"/>
      <c r="H39" s="2293">
        <f t="shared" si="3"/>
        <v>0</v>
      </c>
      <c r="I39" s="363"/>
      <c r="J39" s="363"/>
      <c r="K39" s="363"/>
      <c r="L39" s="363"/>
    </row>
    <row r="40" spans="1:12">
      <c r="A40" s="2286">
        <f t="shared" si="4"/>
        <v>25</v>
      </c>
      <c r="B40" s="1729" t="s">
        <v>518</v>
      </c>
      <c r="C40" s="969"/>
      <c r="D40" s="969"/>
      <c r="E40" s="969"/>
      <c r="F40" s="969"/>
      <c r="G40" s="969"/>
      <c r="H40" s="2293">
        <f t="shared" si="3"/>
        <v>0</v>
      </c>
      <c r="I40" s="363"/>
      <c r="J40" s="363"/>
      <c r="K40" s="363"/>
      <c r="L40" s="363"/>
    </row>
    <row r="41" spans="1:12">
      <c r="A41" s="2286">
        <f t="shared" si="4"/>
        <v>26</v>
      </c>
      <c r="B41" s="1729" t="s">
        <v>519</v>
      </c>
      <c r="C41" s="969"/>
      <c r="D41" s="969"/>
      <c r="E41" s="969"/>
      <c r="F41" s="969"/>
      <c r="G41" s="969"/>
      <c r="H41" s="2293">
        <f t="shared" si="3"/>
        <v>0</v>
      </c>
      <c r="I41" s="363"/>
      <c r="J41" s="363"/>
      <c r="K41" s="363"/>
      <c r="L41" s="363"/>
    </row>
    <row r="42" spans="1:12">
      <c r="A42" s="2296">
        <f t="shared" si="4"/>
        <v>27</v>
      </c>
      <c r="B42" s="1731" t="s">
        <v>1143</v>
      </c>
      <c r="C42" s="965">
        <v>0</v>
      </c>
      <c r="D42" s="965">
        <v>0</v>
      </c>
      <c r="E42" s="965">
        <v>0</v>
      </c>
      <c r="F42" s="965">
        <v>2618500000</v>
      </c>
      <c r="G42" s="965">
        <v>0</v>
      </c>
      <c r="H42" s="2292">
        <f t="shared" si="3"/>
        <v>2618500000</v>
      </c>
      <c r="I42" s="363"/>
      <c r="J42" s="363"/>
      <c r="K42" s="363"/>
      <c r="L42" s="363"/>
    </row>
    <row r="43" spans="1:12" ht="13.5" thickBot="1">
      <c r="A43" s="2302">
        <f t="shared" si="4"/>
        <v>28</v>
      </c>
      <c r="B43" s="975" t="s">
        <v>1387</v>
      </c>
      <c r="C43" s="2298">
        <f t="shared" ref="C43" si="5">+(C30+C42)/2</f>
        <v>0</v>
      </c>
      <c r="D43" s="2299">
        <f t="shared" ref="D43" si="6">+(D30+D42)/2</f>
        <v>0</v>
      </c>
      <c r="E43" s="2299">
        <f t="shared" ref="E43" si="7">+(E30+E42)/2</f>
        <v>0</v>
      </c>
      <c r="F43" s="2299">
        <f t="shared" ref="F43" si="8">+(F30+F42)/2</f>
        <v>2496850000</v>
      </c>
      <c r="G43" s="2299">
        <f t="shared" ref="G43" si="9">+(G30+G42)/2</f>
        <v>0</v>
      </c>
      <c r="H43" s="2300">
        <f t="shared" ref="H43" si="10">+(H30+H42)/2</f>
        <v>2496850000</v>
      </c>
      <c r="I43" s="363"/>
      <c r="J43" s="363"/>
      <c r="K43" s="363"/>
      <c r="L43" s="363"/>
    </row>
    <row r="44" spans="1:12" ht="13.5" thickTop="1">
      <c r="A44" s="2278"/>
      <c r="B44" s="2303"/>
      <c r="C44" s="2304"/>
      <c r="D44" s="2305"/>
      <c r="E44" s="2305"/>
      <c r="F44" s="2305"/>
      <c r="G44" s="2304"/>
      <c r="H44" s="2304"/>
      <c r="I44" s="363"/>
      <c r="J44" s="363"/>
      <c r="K44" s="363"/>
      <c r="L44" s="363"/>
    </row>
    <row r="45" spans="1:12" ht="12.75" customHeight="1">
      <c r="A45" s="330" t="s">
        <v>1321</v>
      </c>
      <c r="F45" s="331"/>
      <c r="G45" s="331"/>
      <c r="H45" s="331"/>
      <c r="I45" s="363"/>
      <c r="J45" s="363"/>
      <c r="K45" s="363"/>
    </row>
    <row r="46" spans="1:12">
      <c r="E46" s="331"/>
      <c r="F46" s="331"/>
      <c r="G46" s="331"/>
      <c r="H46" s="331"/>
      <c r="J46" s="2303"/>
    </row>
    <row r="47" spans="1:12" ht="15">
      <c r="A47" s="333" t="s">
        <v>172</v>
      </c>
      <c r="E47" s="331"/>
      <c r="F47" s="331"/>
      <c r="G47" s="331"/>
      <c r="H47" s="2282"/>
    </row>
    <row r="48" spans="1:12" ht="25.5">
      <c r="A48" s="2283" t="s">
        <v>1121</v>
      </c>
      <c r="B48" s="2307" t="s">
        <v>1130</v>
      </c>
      <c r="C48" s="2307" t="s">
        <v>1131</v>
      </c>
      <c r="D48" s="2308" t="s">
        <v>1132</v>
      </c>
      <c r="E48" s="2307" t="s">
        <v>1133</v>
      </c>
      <c r="F48" s="2308" t="s">
        <v>1134</v>
      </c>
      <c r="G48" s="2307" t="s">
        <v>1135</v>
      </c>
      <c r="H48" s="2307" t="s">
        <v>1136</v>
      </c>
    </row>
    <row r="49" spans="1:12" ht="15">
      <c r="A49" s="333"/>
      <c r="B49" s="2307"/>
      <c r="C49" s="2307"/>
      <c r="D49" s="2308"/>
      <c r="E49" s="2307"/>
      <c r="F49" s="2308"/>
      <c r="G49" s="2307"/>
      <c r="H49" s="2307"/>
    </row>
    <row r="50" spans="1:12">
      <c r="A50" s="336">
        <f>+A43+1</f>
        <v>29</v>
      </c>
      <c r="B50" s="337" t="str">
        <f>"Annual Interest Expense for "&amp;'SWEPCO TCOS'!N2</f>
        <v>Annual Interest Expense for 2018</v>
      </c>
      <c r="C50" s="338"/>
      <c r="D50" s="339"/>
      <c r="E50" s="346"/>
      <c r="F50" s="346"/>
      <c r="G50" s="346"/>
      <c r="H50" s="346"/>
      <c r="I50" s="346"/>
      <c r="J50" s="346"/>
      <c r="K50" s="346"/>
      <c r="L50" s="346"/>
    </row>
    <row r="51" spans="1:12">
      <c r="A51" s="336">
        <f t="shared" ref="A51:A58" si="11">+A50+1</f>
        <v>30</v>
      </c>
      <c r="B51" s="341" t="s">
        <v>864</v>
      </c>
      <c r="C51" s="338"/>
      <c r="D51" s="339"/>
      <c r="E51" s="965">
        <v>113112579</v>
      </c>
      <c r="F51" s="346"/>
      <c r="G51" s="346"/>
      <c r="H51" s="346"/>
      <c r="I51" s="2309">
        <v>-532790.07400000002</v>
      </c>
      <c r="J51" s="346"/>
      <c r="K51" s="346"/>
      <c r="L51" s="346"/>
    </row>
    <row r="52" spans="1:12" ht="28.5" customHeight="1">
      <c r="A52" s="336">
        <f t="shared" si="11"/>
        <v>31</v>
      </c>
      <c r="B52" s="2511" t="str">
        <f>"Less: Total Hedge Gain/Expense Accumulated from p 256-257, col. (i) of FERC Form 1  included in Ln "&amp;A51&amp;" and shown in "&amp;A76&amp;" below."</f>
        <v>Less: Total Hedge Gain/Expense Accumulated from p 256-257, col. (i) of FERC Form 1  included in Ln 30 and shown in 50 below.</v>
      </c>
      <c r="C52" s="2512"/>
      <c r="D52" s="339"/>
      <c r="E52" s="338">
        <f>+C76</f>
        <v>2125250</v>
      </c>
      <c r="F52" s="346"/>
      <c r="G52" s="346"/>
      <c r="H52" s="346"/>
      <c r="I52" s="346"/>
      <c r="J52" s="346"/>
      <c r="K52" s="346"/>
      <c r="L52" s="346"/>
    </row>
    <row r="53" spans="1:12" ht="16.5" customHeight="1">
      <c r="A53" s="336">
        <f t="shared" si="11"/>
        <v>32</v>
      </c>
      <c r="B53" s="342" t="str">
        <f>"Plus:  Allowed Hedge Recovery From Ln "&amp;A82&amp;"  below."</f>
        <v>Plus:  Allowed Hedge Recovery From Ln 55  below.</v>
      </c>
      <c r="C53" s="626"/>
      <c r="D53" s="339"/>
      <c r="E53" s="2310">
        <f>+E82</f>
        <v>2125250</v>
      </c>
      <c r="F53" s="346"/>
      <c r="G53" s="346"/>
      <c r="H53" s="346"/>
      <c r="I53" s="346"/>
      <c r="J53" s="346"/>
      <c r="K53" s="346"/>
      <c r="L53" s="346"/>
    </row>
    <row r="54" spans="1:12">
      <c r="A54" s="336">
        <f t="shared" si="11"/>
        <v>33</v>
      </c>
      <c r="B54" s="341" t="s">
        <v>906</v>
      </c>
      <c r="C54" s="345"/>
      <c r="D54" s="346"/>
      <c r="E54" s="965">
        <v>1787113.57</v>
      </c>
      <c r="F54" s="346"/>
      <c r="G54" s="346"/>
      <c r="H54" s="346"/>
      <c r="I54" s="346"/>
      <c r="J54" s="346"/>
    </row>
    <row r="55" spans="1:12">
      <c r="A55" s="336">
        <f t="shared" si="11"/>
        <v>34</v>
      </c>
      <c r="B55" s="341" t="s">
        <v>907</v>
      </c>
      <c r="C55" s="347"/>
      <c r="D55" s="339"/>
      <c r="E55" s="965">
        <v>532790.07400000002</v>
      </c>
      <c r="F55" s="346"/>
      <c r="G55" s="346"/>
      <c r="H55" s="346"/>
      <c r="I55" s="346"/>
      <c r="J55" s="346"/>
    </row>
    <row r="56" spans="1:12">
      <c r="A56" s="336">
        <f t="shared" si="11"/>
        <v>35</v>
      </c>
      <c r="B56" s="341" t="s">
        <v>908</v>
      </c>
      <c r="C56" s="347"/>
      <c r="D56" s="339"/>
      <c r="E56" s="965">
        <v>0</v>
      </c>
      <c r="F56" s="346"/>
      <c r="G56" s="346"/>
      <c r="H56" s="346"/>
      <c r="I56" s="346"/>
      <c r="J56" s="346"/>
    </row>
    <row r="57" spans="1:12">
      <c r="A57" s="336">
        <f t="shared" si="11"/>
        <v>36</v>
      </c>
      <c r="B57" s="341" t="s">
        <v>909</v>
      </c>
      <c r="C57" s="347"/>
      <c r="D57" s="339"/>
      <c r="E57" s="965">
        <v>11111.57</v>
      </c>
      <c r="F57" s="346"/>
      <c r="G57" s="346"/>
      <c r="H57" s="346"/>
      <c r="I57" s="346"/>
      <c r="J57" s="346"/>
    </row>
    <row r="58" spans="1:12">
      <c r="A58" s="336">
        <f t="shared" si="11"/>
        <v>37</v>
      </c>
      <c r="B58" s="337" t="str">
        <f>"Total Interest Expense (Ln "&amp;A51&amp;" - "&amp;A52&amp;" + "&amp;A54&amp;" + "&amp;A55&amp;" - "&amp;A56&amp;" - "&amp;A57&amp;")"</f>
        <v>Total Interest Expense (Ln 30 - 31 + 33 + 34 - 35 - 36)</v>
      </c>
      <c r="C58" s="348"/>
      <c r="D58" s="349"/>
      <c r="E58" s="378">
        <f>+E51-E52+E53+E54+E55-E56-E57</f>
        <v>115421371.074</v>
      </c>
      <c r="F58" s="346"/>
      <c r="G58" s="346"/>
      <c r="H58" s="346"/>
      <c r="I58" s="346"/>
      <c r="J58" s="346"/>
    </row>
    <row r="59" spans="1:12" ht="13.5" thickBot="1">
      <c r="A59" s="336"/>
      <c r="B59" s="351"/>
      <c r="C59" s="347"/>
      <c r="D59" s="339"/>
      <c r="E59" s="350"/>
      <c r="F59" s="346"/>
      <c r="G59" s="346"/>
      <c r="H59" s="346"/>
      <c r="I59" s="346"/>
      <c r="J59" s="346"/>
    </row>
    <row r="60" spans="1:12" ht="13.5" thickBot="1">
      <c r="A60" s="336">
        <f>+A58+1</f>
        <v>38</v>
      </c>
      <c r="B60" s="337" t="str">
        <f>"Average Cost of Debt for "&amp;'SWEPCO TCOS'!N2&amp;" (Ln "&amp;A58&amp;"/ ln "&amp;A43&amp;" (g))"</f>
        <v>Average Cost of Debt for 2018 (Ln 37/ ln 28 (g))</v>
      </c>
      <c r="C60" s="348"/>
      <c r="D60" s="339"/>
      <c r="E60" s="352">
        <f>IF(ISERROR(+E58/H43),0,E58/H43)</f>
        <v>4.6226794190279752E-2</v>
      </c>
      <c r="F60" s="346"/>
      <c r="G60" s="346"/>
      <c r="H60" s="346"/>
      <c r="I60" s="346"/>
      <c r="J60" s="346"/>
    </row>
    <row r="61" spans="1:12">
      <c r="A61" s="353"/>
      <c r="B61" s="351"/>
      <c r="C61" s="347"/>
      <c r="D61" s="339"/>
      <c r="E61" s="347"/>
      <c r="F61" s="346"/>
      <c r="G61" s="346"/>
      <c r="H61" s="346"/>
      <c r="I61" s="346"/>
      <c r="J61" s="346"/>
    </row>
    <row r="62" spans="1:12" s="357" customFormat="1" ht="28.5" customHeight="1">
      <c r="A62" s="354"/>
      <c r="B62" s="2513" t="s">
        <v>1322</v>
      </c>
      <c r="C62" s="2513"/>
      <c r="D62" s="2513"/>
      <c r="E62" s="2513"/>
      <c r="F62" s="355"/>
      <c r="G62" s="356"/>
    </row>
    <row r="63" spans="1:12" s="357" customFormat="1" ht="65.25" customHeight="1">
      <c r="A63" s="380">
        <f>+A60+1</f>
        <v>39</v>
      </c>
      <c r="B63" s="2510" t="s">
        <v>1323</v>
      </c>
      <c r="C63" s="2510"/>
      <c r="D63" s="2510"/>
      <c r="E63" s="2510"/>
      <c r="F63" s="2510"/>
      <c r="G63" s="2510"/>
      <c r="H63" s="2510"/>
    </row>
    <row r="64" spans="1:12" s="357" customFormat="1" ht="12" customHeight="1">
      <c r="A64" s="354"/>
      <c r="B64" s="358"/>
      <c r="C64" s="358"/>
      <c r="D64" s="358"/>
      <c r="E64" s="358"/>
      <c r="F64" s="356"/>
      <c r="G64" s="2514" t="s">
        <v>1324</v>
      </c>
      <c r="H64" s="2514"/>
    </row>
    <row r="65" spans="1:10" s="357" customFormat="1" ht="52.5" customHeight="1">
      <c r="A65" s="336"/>
      <c r="B65" s="360" t="s">
        <v>1325</v>
      </c>
      <c r="C65" s="627" t="str">
        <f>"Total Hedge (Gain)/Loss for "&amp;'SWEPCO TCOS'!N2</f>
        <v>Total Hedge (Gain)/Loss for 2018</v>
      </c>
      <c r="D65" s="627" t="str">
        <f>"Less Excludable Amounts (See NOTE on Line "&amp;A63&amp;")"</f>
        <v>Less Excludable Amounts (See NOTE on Line 39)</v>
      </c>
      <c r="E65" s="627" t="s">
        <v>1326</v>
      </c>
      <c r="F65" s="627" t="s">
        <v>1327</v>
      </c>
      <c r="G65" s="627" t="s">
        <v>464</v>
      </c>
      <c r="H65" s="627" t="s">
        <v>466</v>
      </c>
    </row>
    <row r="66" spans="1:10" s="357" customFormat="1" ht="12.75" customHeight="1">
      <c r="A66" s="336">
        <f>+A63+1</f>
        <v>40</v>
      </c>
      <c r="B66" s="2311" t="s">
        <v>1573</v>
      </c>
      <c r="C66" s="2312">
        <f>+H66</f>
        <v>2125250</v>
      </c>
      <c r="D66" s="965"/>
      <c r="E66" s="362">
        <f t="shared" ref="E66:E74" si="12">+C66-D66</f>
        <v>2125250</v>
      </c>
      <c r="F66" s="965">
        <f>+H66</f>
        <v>2125250</v>
      </c>
      <c r="G66" s="965">
        <v>2212653</v>
      </c>
      <c r="H66" s="965">
        <v>2125250</v>
      </c>
      <c r="I66" s="363"/>
      <c r="J66" s="363"/>
    </row>
    <row r="67" spans="1:10" s="357" customFormat="1" ht="12.75" customHeight="1">
      <c r="A67" s="336">
        <f t="shared" ref="A67:A76" si="13">+A66+1</f>
        <v>41</v>
      </c>
      <c r="B67" s="2311"/>
      <c r="C67" s="2312"/>
      <c r="D67" s="965"/>
      <c r="E67" s="362">
        <f t="shared" si="12"/>
        <v>0</v>
      </c>
      <c r="F67" s="965"/>
      <c r="G67" s="965"/>
      <c r="H67" s="965"/>
    </row>
    <row r="68" spans="1:10" s="357" customFormat="1" ht="12.75" customHeight="1">
      <c r="A68" s="336">
        <f t="shared" si="13"/>
        <v>42</v>
      </c>
      <c r="B68" s="965"/>
      <c r="C68" s="965"/>
      <c r="D68" s="965"/>
      <c r="E68" s="362">
        <f t="shared" si="12"/>
        <v>0</v>
      </c>
      <c r="F68" s="965"/>
      <c r="G68" s="965"/>
      <c r="H68" s="965"/>
    </row>
    <row r="69" spans="1:10" s="357" customFormat="1" ht="12.75" customHeight="1">
      <c r="A69" s="336">
        <f t="shared" si="13"/>
        <v>43</v>
      </c>
      <c r="B69" s="965"/>
      <c r="C69" s="965"/>
      <c r="D69" s="965"/>
      <c r="E69" s="362">
        <f t="shared" si="12"/>
        <v>0</v>
      </c>
      <c r="F69" s="965"/>
      <c r="G69" s="965"/>
      <c r="H69" s="965"/>
    </row>
    <row r="70" spans="1:10" s="357" customFormat="1" ht="12.75" customHeight="1">
      <c r="A70" s="336">
        <f t="shared" si="13"/>
        <v>44</v>
      </c>
      <c r="B70" s="965"/>
      <c r="C70" s="965"/>
      <c r="D70" s="965"/>
      <c r="E70" s="362">
        <f t="shared" si="12"/>
        <v>0</v>
      </c>
      <c r="F70" s="965"/>
      <c r="G70" s="965"/>
      <c r="H70" s="965"/>
    </row>
    <row r="71" spans="1:10" s="357" customFormat="1" ht="12.75" customHeight="1">
      <c r="A71" s="336">
        <f t="shared" si="13"/>
        <v>45</v>
      </c>
      <c r="B71" s="965"/>
      <c r="C71" s="965"/>
      <c r="D71" s="965"/>
      <c r="E71" s="362">
        <f t="shared" si="12"/>
        <v>0</v>
      </c>
      <c r="F71" s="965"/>
      <c r="G71" s="965"/>
      <c r="H71" s="965"/>
    </row>
    <row r="72" spans="1:10" s="357" customFormat="1" ht="12.75" customHeight="1">
      <c r="A72" s="336">
        <f t="shared" si="13"/>
        <v>46</v>
      </c>
      <c r="B72" s="965"/>
      <c r="C72" s="965"/>
      <c r="D72" s="965"/>
      <c r="E72" s="362">
        <f t="shared" si="12"/>
        <v>0</v>
      </c>
      <c r="F72" s="965"/>
      <c r="G72" s="965"/>
      <c r="H72" s="965"/>
    </row>
    <row r="73" spans="1:10" s="357" customFormat="1" ht="12.75" customHeight="1">
      <c r="A73" s="336">
        <f t="shared" si="13"/>
        <v>47</v>
      </c>
      <c r="B73" s="965"/>
      <c r="C73" s="965"/>
      <c r="D73" s="965"/>
      <c r="E73" s="362">
        <f t="shared" si="12"/>
        <v>0</v>
      </c>
      <c r="F73" s="965"/>
      <c r="G73" s="965"/>
      <c r="H73" s="965"/>
    </row>
    <row r="74" spans="1:10" s="357" customFormat="1" ht="12.75" customHeight="1">
      <c r="A74" s="336">
        <f t="shared" si="13"/>
        <v>48</v>
      </c>
      <c r="B74" s="965"/>
      <c r="C74" s="965"/>
      <c r="D74" s="965"/>
      <c r="E74" s="362">
        <f t="shared" si="12"/>
        <v>0</v>
      </c>
      <c r="F74" s="965"/>
      <c r="G74" s="965"/>
      <c r="H74" s="965"/>
    </row>
    <row r="75" spans="1:10" s="357" customFormat="1" ht="12.75" customHeight="1">
      <c r="A75" s="336">
        <f t="shared" si="13"/>
        <v>49</v>
      </c>
      <c r="B75" s="364"/>
      <c r="C75" s="365"/>
      <c r="D75" s="365"/>
      <c r="E75" s="366"/>
      <c r="F75" s="362">
        <f>SUM(F66:F74)</f>
        <v>2125250</v>
      </c>
      <c r="G75" s="356"/>
    </row>
    <row r="76" spans="1:10" s="357" customFormat="1" ht="12.75" customHeight="1">
      <c r="A76" s="336">
        <f t="shared" si="13"/>
        <v>50</v>
      </c>
      <c r="B76" s="351" t="s">
        <v>173</v>
      </c>
      <c r="C76" s="350">
        <f>SUM(C66:C74)</f>
        <v>2125250</v>
      </c>
      <c r="D76" s="350">
        <f>SUM(D66:D74)</f>
        <v>0</v>
      </c>
      <c r="F76" s="356"/>
      <c r="G76" s="356"/>
    </row>
    <row r="77" spans="1:10" s="357" customFormat="1" ht="21" customHeight="1">
      <c r="A77" s="336"/>
      <c r="B77" s="351"/>
      <c r="C77" s="350"/>
      <c r="D77" s="350"/>
      <c r="E77" s="350"/>
      <c r="F77" s="356"/>
      <c r="G77" s="356"/>
    </row>
    <row r="78" spans="1:10" s="357" customFormat="1" ht="14.25" customHeight="1">
      <c r="A78" s="336">
        <f>+A76+1</f>
        <v>51</v>
      </c>
      <c r="B78" s="351" t="str">
        <f>"Hedge Gain or Loss Prior to Application of Recovery Limit (Sum of Lines "&amp;A66&amp;" to "&amp;A74&amp;")"</f>
        <v>Hedge Gain or Loss Prior to Application of Recovery Limit (Sum of Lines 40 to 48)</v>
      </c>
      <c r="C78" s="350"/>
      <c r="D78" s="350"/>
      <c r="E78" s="350">
        <f>SUM(E66:E74)</f>
        <v>2125250</v>
      </c>
      <c r="F78" s="356"/>
      <c r="G78" s="356"/>
    </row>
    <row r="79" spans="1:10" s="357" customFormat="1" ht="12.75" customHeight="1">
      <c r="A79" s="336">
        <f>+A78+1</f>
        <v>52</v>
      </c>
      <c r="B79" s="367" t="str">
        <f>"Total Average Capital Structure Balance for "&amp;'SWEPCO TCOS'!N2&amp;" (TCOS, Ln "&amp;'SWEPCO TCOS'!B238&amp;")"</f>
        <v>Total Average Capital Structure Balance for 2018 (TCOS, Ln 144)</v>
      </c>
      <c r="C79" s="347"/>
      <c r="D79" s="339"/>
      <c r="E79" s="368">
        <f>+'SWEPCO TCOS'!E238</f>
        <v>4743458071.0534992</v>
      </c>
      <c r="F79" s="356"/>
      <c r="G79" s="356"/>
      <c r="H79" s="369"/>
    </row>
    <row r="80" spans="1:10" s="357" customFormat="1" ht="12.75" customHeight="1">
      <c r="A80" s="336">
        <f>+A79+1</f>
        <v>53</v>
      </c>
      <c r="B80" s="351" t="s">
        <v>174</v>
      </c>
      <c r="C80" s="347"/>
      <c r="D80" s="339"/>
      <c r="E80" s="370">
        <v>5.0000000000000001E-4</v>
      </c>
      <c r="F80" s="356"/>
      <c r="G80" s="371"/>
    </row>
    <row r="81" spans="1:7" s="357" customFormat="1" ht="12.75" customHeight="1" thickBot="1">
      <c r="A81" s="336">
        <f>+A80+1</f>
        <v>54</v>
      </c>
      <c r="B81" s="351" t="s">
        <v>175</v>
      </c>
      <c r="C81" s="347"/>
      <c r="D81" s="339"/>
      <c r="E81" s="372">
        <f>+E79*E80</f>
        <v>2371729.0355267497</v>
      </c>
      <c r="F81" s="356"/>
      <c r="G81" s="356"/>
    </row>
    <row r="82" spans="1:7" s="357" customFormat="1" ht="12.75" customHeight="1" thickBot="1">
      <c r="A82" s="336">
        <f>+A81+1</f>
        <v>55</v>
      </c>
      <c r="B82" s="337" t="str">
        <f>"Recoverable Hedge Amortization (Lesser of Ln "&amp;A78&amp;" or Ln "&amp;A81&amp;")"</f>
        <v>Recoverable Hedge Amortization (Lesser of Ln 51 or Ln 54)</v>
      </c>
      <c r="C82" s="347"/>
      <c r="D82" s="339"/>
      <c r="E82" s="373">
        <f>+IF(E81&lt;E78,E81,E78)</f>
        <v>2125250</v>
      </c>
      <c r="F82" s="356"/>
      <c r="G82" s="356"/>
    </row>
    <row r="83" spans="1:7" s="357" customFormat="1" ht="12.75" customHeight="1">
      <c r="A83" s="336"/>
      <c r="B83" s="351"/>
      <c r="C83" s="347"/>
      <c r="D83" s="339"/>
      <c r="E83" s="347"/>
      <c r="F83" s="356"/>
      <c r="G83" s="356"/>
    </row>
    <row r="84" spans="1:7" s="357" customFormat="1" ht="12.75" customHeight="1">
      <c r="A84" s="374" t="s">
        <v>176</v>
      </c>
      <c r="B84" s="375"/>
      <c r="C84" s="347"/>
      <c r="D84" s="339"/>
      <c r="E84" s="347"/>
      <c r="F84" s="356"/>
      <c r="G84" s="356"/>
    </row>
    <row r="85" spans="1:7" s="357" customFormat="1" ht="12.75" customHeight="1">
      <c r="A85" s="359"/>
      <c r="B85" s="339"/>
      <c r="C85" s="338"/>
      <c r="D85" s="338"/>
      <c r="E85" s="356"/>
      <c r="F85" s="356"/>
      <c r="G85" s="356"/>
    </row>
    <row r="86" spans="1:7" s="357" customFormat="1" ht="12.75" customHeight="1">
      <c r="A86" s="336">
        <f>+A82+1</f>
        <v>56</v>
      </c>
      <c r="B86" s="339" t="str">
        <f>"Beginning/Ending Average Balance of Preferred Stock (Ln "&amp;A24&amp;" Col. "&amp;D9&amp;")"</f>
        <v>Beginning/Ending Average Balance of Preferred Stock (Ln 14 Col. (c))</v>
      </c>
      <c r="C86" s="700"/>
      <c r="D86" s="700"/>
      <c r="E86" s="376">
        <f>+D24</f>
        <v>0</v>
      </c>
      <c r="F86" s="339"/>
      <c r="G86" s="356"/>
    </row>
    <row r="87" spans="1:7" s="357" customFormat="1" ht="12.75" customHeight="1" thickBot="1">
      <c r="A87" s="336">
        <f>+A86+1</f>
        <v>57</v>
      </c>
      <c r="B87" s="339" t="s">
        <v>1328</v>
      </c>
      <c r="C87" s="700"/>
      <c r="D87" s="700"/>
      <c r="E87" s="965"/>
      <c r="F87" s="356"/>
      <c r="G87" s="356"/>
    </row>
    <row r="88" spans="1:7" s="357" customFormat="1" ht="12.75" customHeight="1" thickBot="1">
      <c r="A88" s="336">
        <f>+A87+1</f>
        <v>58</v>
      </c>
      <c r="B88" s="379" t="str">
        <f>"Average Cost of Preferred Stock (Ln "&amp;A87&amp;"/ Ln "&amp;A86&amp;")"</f>
        <v>Average Cost of Preferred Stock (Ln 57/ Ln 56)</v>
      </c>
      <c r="C88" s="700"/>
      <c r="D88" s="700"/>
      <c r="E88" s="352">
        <f>IF(E86=0,0,+E87/E86)</f>
        <v>0</v>
      </c>
      <c r="F88" s="356"/>
      <c r="G88" s="356"/>
    </row>
    <row r="89" spans="1:7">
      <c r="C89" s="700"/>
      <c r="D89" s="700"/>
    </row>
    <row r="130" spans="7:7">
      <c r="G130" s="2277" t="s">
        <v>256</v>
      </c>
    </row>
    <row r="147" spans="7:12">
      <c r="G147" s="2313"/>
      <c r="L147" s="2313"/>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topLeftCell="A22" zoomScaleNormal="100" workbookViewId="0">
      <selection activeCell="J38" sqref="J38"/>
    </sheetView>
  </sheetViews>
  <sheetFormatPr defaultColWidth="9.140625" defaultRowHeight="12.75"/>
  <cols>
    <col min="1" max="1" width="1.7109375" style="916" customWidth="1"/>
    <col min="2" max="2" width="25.140625" style="916" customWidth="1"/>
    <col min="3" max="3" width="1.7109375" style="916" customWidth="1"/>
    <col min="4" max="4" width="21.28515625" style="916" customWidth="1"/>
    <col min="5" max="5" width="1.7109375" style="916" customWidth="1"/>
    <col min="6" max="6" width="22.28515625" style="916" customWidth="1"/>
    <col min="7" max="7" width="1.7109375" style="916" customWidth="1"/>
    <col min="8" max="8" width="17.28515625" style="916" customWidth="1"/>
    <col min="9" max="9" width="1.7109375" style="916" customWidth="1"/>
    <col min="10" max="10" width="15.5703125" style="916" customWidth="1"/>
    <col min="11" max="11" width="1.7109375" style="916" customWidth="1"/>
    <col min="12" max="12" width="15.85546875" style="916" customWidth="1"/>
    <col min="13" max="13" width="1.7109375" style="916" customWidth="1"/>
    <col min="14" max="14" width="13.5703125" style="916" customWidth="1"/>
    <col min="15" max="15" width="1.7109375" style="916" customWidth="1"/>
    <col min="16" max="16" width="14.140625" style="916" customWidth="1"/>
    <col min="17" max="17" width="1.7109375" style="916" customWidth="1"/>
    <col min="18" max="18" width="14.42578125" style="916" customWidth="1"/>
    <col min="19" max="19" width="7.7109375" style="916" bestFit="1" customWidth="1"/>
    <col min="20" max="20" width="3" style="916" hidden="1" customWidth="1"/>
    <col min="21" max="16384" width="9.140625" style="916"/>
  </cols>
  <sheetData>
    <row r="1" spans="1:18" ht="15">
      <c r="A1" s="1641"/>
    </row>
    <row r="2" spans="1:18" ht="15.75">
      <c r="A2" s="1642"/>
    </row>
    <row r="3" spans="1:18" ht="15.75">
      <c r="A3" s="1642"/>
    </row>
    <row r="4" spans="1:18" ht="15.75">
      <c r="B4" s="2522" t="s">
        <v>878</v>
      </c>
      <c r="C4" s="2522"/>
      <c r="D4" s="2522"/>
      <c r="E4" s="2522"/>
      <c r="F4" s="2522"/>
      <c r="G4" s="2522"/>
      <c r="H4" s="2522"/>
      <c r="I4" s="2522"/>
      <c r="J4" s="2522"/>
      <c r="K4" s="2522"/>
      <c r="L4" s="2522"/>
      <c r="M4" s="2522"/>
      <c r="N4" s="2522"/>
      <c r="O4" s="2522"/>
      <c r="P4" s="2522"/>
      <c r="Q4" s="2522"/>
      <c r="R4" s="2522"/>
    </row>
    <row r="5" spans="1:18" ht="15.75">
      <c r="B5" s="2523" t="str">
        <f>+'SWEPCO WS A-1 - Plant'!A3</f>
        <v xml:space="preserve">Actual / Projected 2018 Rate Year Cost of Service Formula Rate </v>
      </c>
      <c r="C5" s="2523"/>
      <c r="D5" s="2523"/>
      <c r="E5" s="2523"/>
      <c r="F5" s="2523"/>
      <c r="G5" s="2523"/>
      <c r="H5" s="2523"/>
      <c r="I5" s="2523"/>
      <c r="J5" s="2523"/>
      <c r="K5" s="2523"/>
      <c r="L5" s="2523"/>
      <c r="M5" s="2523"/>
      <c r="N5" s="2523"/>
      <c r="O5" s="2523"/>
      <c r="P5" s="2523"/>
      <c r="Q5" s="2523"/>
      <c r="R5" s="2523"/>
    </row>
    <row r="6" spans="1:18" ht="15.75">
      <c r="B6" s="2523" t="s">
        <v>1097</v>
      </c>
      <c r="C6" s="2523"/>
      <c r="D6" s="2523"/>
      <c r="E6" s="2523"/>
      <c r="F6" s="2523"/>
      <c r="G6" s="2523"/>
      <c r="H6" s="2523"/>
      <c r="I6" s="2523"/>
      <c r="J6" s="2523"/>
      <c r="K6" s="2523"/>
      <c r="L6" s="2523"/>
      <c r="M6" s="2523"/>
      <c r="N6" s="2523"/>
      <c r="O6" s="2523"/>
      <c r="P6" s="2523"/>
      <c r="Q6" s="2523"/>
      <c r="R6" s="2523"/>
    </row>
    <row r="7" spans="1:18" ht="15.75">
      <c r="B7" s="2479" t="str">
        <f>+'SWEPCO TCOS'!F8</f>
        <v>SOUTHWESTERN ELECTRIC POWER COMPANY</v>
      </c>
      <c r="C7" s="2523"/>
      <c r="D7" s="2523"/>
      <c r="E7" s="2523"/>
      <c r="F7" s="2523"/>
      <c r="G7" s="2523"/>
      <c r="H7" s="2523"/>
      <c r="I7" s="2523"/>
      <c r="J7" s="2523"/>
      <c r="K7" s="2523"/>
      <c r="L7" s="2523"/>
      <c r="M7" s="2523"/>
      <c r="N7" s="2523"/>
      <c r="O7" s="2523"/>
      <c r="P7" s="2523"/>
      <c r="Q7" s="2523"/>
      <c r="R7" s="2523"/>
    </row>
    <row r="8" spans="1:18" ht="16.5" thickBot="1">
      <c r="B8" s="1643"/>
      <c r="C8" s="1644"/>
      <c r="D8" s="1644"/>
      <c r="E8" s="1644"/>
      <c r="F8" s="1644"/>
      <c r="G8" s="1644"/>
      <c r="H8" s="1644"/>
      <c r="I8" s="1644"/>
      <c r="J8" s="1644"/>
      <c r="K8" s="1644"/>
      <c r="P8" s="1644"/>
      <c r="Q8" s="1644"/>
      <c r="R8" s="1644"/>
    </row>
    <row r="9" spans="1:18" ht="60.75" customHeight="1">
      <c r="B9" s="1645" t="str">
        <f>"True up Revenue Requirement For Year "&amp;J9&amp;" Available May, "&amp;J10&amp; " Net of Schedule 11 Revenue Credits"</f>
        <v>True up Revenue Requirement For Year 2018 Available May, 2019 Net of Schedule 11 Revenue Credits</v>
      </c>
      <c r="C9" s="1644"/>
      <c r="D9" s="1645" t="s">
        <v>1382</v>
      </c>
      <c r="E9" s="1646"/>
      <c r="F9" s="1647" t="s">
        <v>1098</v>
      </c>
      <c r="G9" s="926"/>
      <c r="H9" s="1648" t="s">
        <v>1099</v>
      </c>
      <c r="I9" s="1644"/>
      <c r="J9" s="1649">
        <v>2018</v>
      </c>
      <c r="K9" s="1644"/>
      <c r="P9" s="926"/>
      <c r="Q9" s="926"/>
      <c r="R9" s="926"/>
    </row>
    <row r="10" spans="1:18" ht="15.75">
      <c r="B10" s="1650" t="s">
        <v>256</v>
      </c>
      <c r="C10" s="1644"/>
      <c r="D10" s="1650"/>
      <c r="E10" s="1646"/>
      <c r="F10" s="1651"/>
      <c r="G10" s="926"/>
      <c r="H10" s="1652" t="s">
        <v>1100</v>
      </c>
      <c r="I10" s="1653"/>
      <c r="J10" s="1654">
        <f>J9+1</f>
        <v>2019</v>
      </c>
      <c r="P10" s="926"/>
      <c r="Q10" s="926"/>
      <c r="R10" s="926"/>
    </row>
    <row r="11" spans="1:18" ht="16.5" thickBot="1">
      <c r="B11" s="650">
        <f>+'Zonal Rates'!M23</f>
        <v>81604435.927274346</v>
      </c>
      <c r="C11" s="651" t="s">
        <v>1101</v>
      </c>
      <c r="D11" s="650">
        <v>104004233.87571356</v>
      </c>
      <c r="E11" s="652" t="s">
        <v>1102</v>
      </c>
      <c r="F11" s="653">
        <f>IF(B11=0,0,D11-B11)</f>
        <v>22399797.948439211</v>
      </c>
      <c r="G11" s="1655"/>
      <c r="H11" s="1656" t="s">
        <v>1103</v>
      </c>
      <c r="I11" s="1657"/>
      <c r="J11" s="1658">
        <f>J10+1</f>
        <v>2020</v>
      </c>
      <c r="P11" s="926"/>
      <c r="Q11" s="926"/>
      <c r="R11" s="926"/>
    </row>
    <row r="12" spans="1:18" ht="15.75">
      <c r="B12" s="1657"/>
      <c r="C12" s="1659"/>
      <c r="D12" s="1657"/>
      <c r="E12" s="1657"/>
      <c r="F12" s="1657"/>
      <c r="G12" s="1657"/>
      <c r="H12" s="926"/>
      <c r="I12" s="926"/>
      <c r="P12" s="926"/>
      <c r="Q12" s="926"/>
      <c r="R12" s="926"/>
    </row>
    <row r="13" spans="1:18" ht="16.5" thickBot="1">
      <c r="B13" s="1660"/>
      <c r="C13" s="1661"/>
      <c r="D13" s="1660"/>
      <c r="E13" s="1660"/>
      <c r="F13" s="1660"/>
      <c r="G13" s="1660"/>
      <c r="H13" s="1660"/>
      <c r="I13" s="1660"/>
      <c r="J13" s="1660"/>
      <c r="K13" s="1660"/>
      <c r="L13" s="1660"/>
      <c r="M13" s="1660"/>
      <c r="N13" s="1662"/>
      <c r="O13" s="1662"/>
      <c r="P13" s="1662"/>
      <c r="Q13" s="1662"/>
      <c r="R13" s="1662"/>
    </row>
    <row r="14" spans="1:18" ht="15.75">
      <c r="B14" s="1663"/>
      <c r="C14" s="1659"/>
      <c r="D14" s="1657"/>
      <c r="E14" s="1657"/>
      <c r="F14" s="1657"/>
      <c r="G14" s="1657"/>
      <c r="H14" s="1657"/>
      <c r="I14" s="1657"/>
      <c r="J14" s="1657"/>
      <c r="K14" s="1657"/>
      <c r="L14" s="1657"/>
      <c r="M14" s="1657"/>
      <c r="N14" s="926"/>
      <c r="O14" s="926"/>
      <c r="P14" s="926"/>
      <c r="Q14" s="926"/>
      <c r="R14" s="926"/>
    </row>
    <row r="15" spans="1:18" ht="63">
      <c r="B15" s="1664" t="s">
        <v>1104</v>
      </c>
      <c r="C15" s="1659"/>
      <c r="D15" s="1665" t="s">
        <v>1105</v>
      </c>
      <c r="E15" s="1665"/>
      <c r="F15" s="1665" t="s">
        <v>1106</v>
      </c>
      <c r="G15" s="1665"/>
      <c r="H15" s="1665" t="s">
        <v>1107</v>
      </c>
      <c r="I15" s="1657"/>
      <c r="J15" s="1666" t="s">
        <v>1108</v>
      </c>
      <c r="K15" s="1657"/>
      <c r="L15" s="1665" t="s">
        <v>1358</v>
      </c>
      <c r="M15" s="1667"/>
      <c r="N15" s="1666" t="s">
        <v>1109</v>
      </c>
      <c r="O15" s="1666"/>
      <c r="P15" s="1665" t="s">
        <v>1110</v>
      </c>
      <c r="Q15" s="1668"/>
      <c r="R15" s="1665" t="s">
        <v>1111</v>
      </c>
    </row>
    <row r="16" spans="1:18" ht="15.75">
      <c r="B16" s="1669"/>
      <c r="C16" s="1659"/>
      <c r="D16" s="926"/>
      <c r="E16" s="926"/>
      <c r="F16" s="926"/>
      <c r="G16" s="926"/>
      <c r="H16" s="926"/>
      <c r="I16" s="2314"/>
      <c r="J16" s="2314"/>
      <c r="K16" s="2314"/>
      <c r="N16" s="926"/>
      <c r="O16" s="926"/>
      <c r="P16" s="926"/>
      <c r="Q16" s="926"/>
      <c r="R16" s="926"/>
    </row>
    <row r="17" spans="2:20" ht="15.75">
      <c r="B17" s="1671" t="s">
        <v>1112</v>
      </c>
      <c r="C17" s="1659"/>
      <c r="D17" s="1659"/>
      <c r="E17" s="1659"/>
      <c r="F17" s="1659"/>
      <c r="G17" s="1659"/>
      <c r="H17" s="1659"/>
      <c r="I17" s="1659"/>
      <c r="J17" s="1659"/>
      <c r="K17" s="1659"/>
      <c r="L17" s="926"/>
      <c r="M17" s="926"/>
      <c r="N17" s="1667"/>
      <c r="O17" s="1667"/>
      <c r="P17" s="1659"/>
      <c r="Q17" s="1659"/>
      <c r="R17" s="1659"/>
    </row>
    <row r="18" spans="2:20" ht="15.75">
      <c r="B18" s="1672" t="s">
        <v>128</v>
      </c>
      <c r="C18" s="1659"/>
      <c r="D18" s="1659"/>
      <c r="E18" s="1659"/>
      <c r="F18" s="1659"/>
      <c r="G18" s="1659"/>
      <c r="H18" s="1659"/>
      <c r="I18" s="1659"/>
      <c r="J18" s="1659"/>
      <c r="K18" s="1659"/>
      <c r="L18" s="926"/>
      <c r="M18" s="926"/>
      <c r="N18" s="1667"/>
      <c r="O18" s="1667"/>
      <c r="P18" s="1659"/>
      <c r="Q18" s="1659"/>
      <c r="R18" s="1659"/>
    </row>
    <row r="19" spans="2:20" ht="15.75">
      <c r="B19" s="1673">
        <f t="shared" ref="B19:B30" si="0">DATE($J$9,T19,1)</f>
        <v>43101</v>
      </c>
      <c r="C19" s="1644"/>
      <c r="D19" s="2315">
        <f>F11/12</f>
        <v>1866649.8290366009</v>
      </c>
      <c r="E19" s="2316"/>
      <c r="F19" s="2315">
        <v>0</v>
      </c>
      <c r="G19" s="2315"/>
      <c r="H19" s="2315">
        <v>0</v>
      </c>
      <c r="I19" s="2315"/>
      <c r="J19" s="2315">
        <f>F19+H19</f>
        <v>0</v>
      </c>
      <c r="K19" s="2316"/>
      <c r="L19" s="641">
        <f>+'SWEPCO WS Q Interest Rate'!E13</f>
        <v>3.5999999999999999E-3</v>
      </c>
      <c r="M19" s="642"/>
      <c r="N19" s="2315">
        <f t="shared" ref="N19:N30" si="1">J19*L19</f>
        <v>0</v>
      </c>
      <c r="O19" s="2315"/>
      <c r="P19" s="2315"/>
      <c r="Q19" s="2315"/>
      <c r="R19" s="2315">
        <f>D19+N19</f>
        <v>1866649.8290366009</v>
      </c>
      <c r="T19" s="916">
        <v>1</v>
      </c>
    </row>
    <row r="20" spans="2:20" ht="15.75">
      <c r="B20" s="1673">
        <f t="shared" si="0"/>
        <v>43132</v>
      </c>
      <c r="C20" s="1644"/>
      <c r="D20" s="2315">
        <f>+D19</f>
        <v>1866649.8290366009</v>
      </c>
      <c r="E20" s="2316"/>
      <c r="F20" s="2315">
        <f>D19</f>
        <v>1866649.8290366009</v>
      </c>
      <c r="G20" s="2315"/>
      <c r="H20" s="2315">
        <v>0</v>
      </c>
      <c r="I20" s="2315"/>
      <c r="J20" s="2315">
        <f t="shared" ref="J20:J29" si="2">F20+H20</f>
        <v>1866649.8290366009</v>
      </c>
      <c r="K20" s="2316"/>
      <c r="L20" s="641">
        <f>+'SWEPCO WS Q Interest Rate'!E14</f>
        <v>3.3E-3</v>
      </c>
      <c r="M20" s="642"/>
      <c r="N20" s="2315">
        <f t="shared" si="1"/>
        <v>6159.9444358207829</v>
      </c>
      <c r="O20" s="2315"/>
      <c r="P20" s="2315"/>
      <c r="Q20" s="2315"/>
      <c r="R20" s="2315">
        <f>SUM($D$19:D20)+SUM($N$19:N20)</f>
        <v>3739459.6025090227</v>
      </c>
      <c r="T20" s="916">
        <v>2</v>
      </c>
    </row>
    <row r="21" spans="2:20" ht="15.75">
      <c r="B21" s="1673">
        <f t="shared" si="0"/>
        <v>43160</v>
      </c>
      <c r="C21" s="1644"/>
      <c r="D21" s="2315">
        <f>+D20</f>
        <v>1866649.8290366009</v>
      </c>
      <c r="E21" s="2316"/>
      <c r="F21" s="2315">
        <f>D20+F20</f>
        <v>3733299.6580732018</v>
      </c>
      <c r="G21" s="2315"/>
      <c r="H21" s="2315">
        <v>0</v>
      </c>
      <c r="I21" s="2315"/>
      <c r="J21" s="2315">
        <f t="shared" si="2"/>
        <v>3733299.6580732018</v>
      </c>
      <c r="K21" s="2316"/>
      <c r="L21" s="641">
        <f>+'SWEPCO WS Q Interest Rate'!E15</f>
        <v>3.5999999999999999E-3</v>
      </c>
      <c r="M21" s="642"/>
      <c r="N21" s="2315">
        <f t="shared" si="1"/>
        <v>13439.878769063525</v>
      </c>
      <c r="O21" s="2315"/>
      <c r="P21" s="2315"/>
      <c r="Q21" s="2315"/>
      <c r="R21" s="2315">
        <f>SUM($D$19:D21)+SUM($N$19:N21)</f>
        <v>5619549.310314687</v>
      </c>
      <c r="T21" s="916">
        <v>3</v>
      </c>
    </row>
    <row r="22" spans="2:20" ht="15.75">
      <c r="B22" s="1673">
        <f t="shared" si="0"/>
        <v>43191</v>
      </c>
      <c r="C22" s="1644"/>
      <c r="D22" s="2315">
        <f>+D21</f>
        <v>1866649.8290366009</v>
      </c>
      <c r="E22" s="2316"/>
      <c r="F22" s="2315">
        <f t="shared" ref="F22:F28" si="3">D21+F21</f>
        <v>5599949.4871098027</v>
      </c>
      <c r="G22" s="2315"/>
      <c r="H22" s="2315">
        <f>SUM($N$19:$N$21)</f>
        <v>19599.823204884309</v>
      </c>
      <c r="I22" s="2315"/>
      <c r="J22" s="2315">
        <f t="shared" si="2"/>
        <v>5619549.310314687</v>
      </c>
      <c r="K22" s="2316"/>
      <c r="L22" s="641">
        <f>+'SWEPCO WS Q Interest Rate'!E16</f>
        <v>3.7000000000000002E-3</v>
      </c>
      <c r="M22" s="642"/>
      <c r="N22" s="2315">
        <f t="shared" si="1"/>
        <v>20792.332448164343</v>
      </c>
      <c r="O22" s="2315"/>
      <c r="P22" s="2315"/>
      <c r="Q22" s="2315"/>
      <c r="R22" s="2315">
        <f>SUM($D$19:D22)+SUM($N$19:N22)</f>
        <v>7506991.4717994519</v>
      </c>
      <c r="T22" s="916">
        <v>4</v>
      </c>
    </row>
    <row r="23" spans="2:20" ht="15.75">
      <c r="B23" s="1673">
        <f t="shared" si="0"/>
        <v>43221</v>
      </c>
      <c r="C23" s="1644"/>
      <c r="D23" s="2315">
        <f t="shared" ref="D23:D28" si="4">+D22</f>
        <v>1866649.8290366009</v>
      </c>
      <c r="E23" s="2316"/>
      <c r="F23" s="2315">
        <f t="shared" si="3"/>
        <v>7466599.3161464036</v>
      </c>
      <c r="G23" s="2315"/>
      <c r="H23" s="2315">
        <f t="shared" ref="H23:H24" si="5">SUM($N$19:$N$21)</f>
        <v>19599.823204884309</v>
      </c>
      <c r="I23" s="2315"/>
      <c r="J23" s="2315">
        <f t="shared" si="2"/>
        <v>7486199.1393512879</v>
      </c>
      <c r="K23" s="2316"/>
      <c r="L23" s="641">
        <f>+'SWEPCO WS Q Interest Rate'!E17</f>
        <v>3.8E-3</v>
      </c>
      <c r="M23" s="642"/>
      <c r="N23" s="2315">
        <f t="shared" si="1"/>
        <v>28447.556729534896</v>
      </c>
      <c r="O23" s="2315"/>
      <c r="P23" s="2315"/>
      <c r="Q23" s="2315"/>
      <c r="R23" s="2315">
        <f>SUM($D$19:D23)+SUM($N$19:N23)</f>
        <v>9402088.8575655874</v>
      </c>
      <c r="T23" s="916">
        <v>5</v>
      </c>
    </row>
    <row r="24" spans="2:20" ht="15.75">
      <c r="B24" s="1673">
        <f t="shared" si="0"/>
        <v>43252</v>
      </c>
      <c r="C24" s="1644"/>
      <c r="D24" s="2315">
        <f t="shared" si="4"/>
        <v>1866649.8290366009</v>
      </c>
      <c r="E24" s="2316"/>
      <c r="F24" s="2315">
        <f t="shared" si="3"/>
        <v>9333249.1451830044</v>
      </c>
      <c r="G24" s="2315"/>
      <c r="H24" s="2315">
        <f t="shared" si="5"/>
        <v>19599.823204884309</v>
      </c>
      <c r="I24" s="2315"/>
      <c r="J24" s="2315">
        <f t="shared" si="2"/>
        <v>9352848.9683878887</v>
      </c>
      <c r="K24" s="2316"/>
      <c r="L24" s="641">
        <f>+'SWEPCO WS Q Interest Rate'!E18</f>
        <v>3.7000000000000002E-3</v>
      </c>
      <c r="M24" s="642"/>
      <c r="N24" s="2315">
        <f t="shared" si="1"/>
        <v>34605.541183035188</v>
      </c>
      <c r="O24" s="2315"/>
      <c r="P24" s="2315"/>
      <c r="Q24" s="2315"/>
      <c r="R24" s="2315">
        <f>SUM($D$19:D24)+SUM($N$19:N24)</f>
        <v>11303344.227785224</v>
      </c>
      <c r="T24" s="916">
        <v>6</v>
      </c>
    </row>
    <row r="25" spans="2:20" ht="15.75">
      <c r="B25" s="1673">
        <f t="shared" si="0"/>
        <v>43282</v>
      </c>
      <c r="C25" s="1644"/>
      <c r="D25" s="2315">
        <f t="shared" si="4"/>
        <v>1866649.8290366009</v>
      </c>
      <c r="E25" s="2316"/>
      <c r="F25" s="2315">
        <f t="shared" si="3"/>
        <v>11199898.974219605</v>
      </c>
      <c r="G25" s="2315"/>
      <c r="H25" s="2315">
        <f>$H$24+SUM($N$22:$N$24)</f>
        <v>103445.25356561874</v>
      </c>
      <c r="I25" s="2315"/>
      <c r="J25" s="2315">
        <f t="shared" si="2"/>
        <v>11303344.227785224</v>
      </c>
      <c r="K25" s="2316"/>
      <c r="L25" s="641">
        <f>+'SWEPCO WS Q Interest Rate'!E19</f>
        <v>4.0000000000000001E-3</v>
      </c>
      <c r="M25" s="642"/>
      <c r="N25" s="2315">
        <f t="shared" si="1"/>
        <v>45213.376911140898</v>
      </c>
      <c r="O25" s="2315"/>
      <c r="P25" s="2315"/>
      <c r="Q25" s="2315"/>
      <c r="R25" s="2315">
        <f>SUM($D$19:D25)+SUM($N$19:N25)</f>
        <v>13215207.433732966</v>
      </c>
      <c r="T25" s="916">
        <v>7</v>
      </c>
    </row>
    <row r="26" spans="2:20" ht="15.75">
      <c r="B26" s="1673">
        <f t="shared" si="0"/>
        <v>43313</v>
      </c>
      <c r="C26" s="1644"/>
      <c r="D26" s="2315">
        <f t="shared" si="4"/>
        <v>1866649.8290366009</v>
      </c>
      <c r="E26" s="2316"/>
      <c r="F26" s="2315">
        <f t="shared" si="3"/>
        <v>13066548.803256206</v>
      </c>
      <c r="G26" s="2315"/>
      <c r="H26" s="2315">
        <f>$H$24+SUM($N$22:$N$24)</f>
        <v>103445.25356561874</v>
      </c>
      <c r="I26" s="2315"/>
      <c r="J26" s="2315">
        <f t="shared" si="2"/>
        <v>13169994.056821825</v>
      </c>
      <c r="K26" s="2316"/>
      <c r="L26" s="641">
        <f>+'SWEPCO WS Q Interest Rate'!E20</f>
        <v>4.0000000000000001E-3</v>
      </c>
      <c r="M26" s="642"/>
      <c r="N26" s="2315">
        <f t="shared" si="1"/>
        <v>52679.976227287298</v>
      </c>
      <c r="O26" s="2315"/>
      <c r="P26" s="2315"/>
      <c r="Q26" s="2315"/>
      <c r="R26" s="2315">
        <f>SUM($D$19:D26)+SUM($N$19:N26)</f>
        <v>15134537.238996854</v>
      </c>
      <c r="T26" s="916">
        <v>8</v>
      </c>
    </row>
    <row r="27" spans="2:20" ht="15.75">
      <c r="B27" s="1673">
        <f t="shared" si="0"/>
        <v>43344</v>
      </c>
      <c r="C27" s="1644"/>
      <c r="D27" s="2315">
        <f t="shared" si="4"/>
        <v>1866649.8290366009</v>
      </c>
      <c r="E27" s="2316"/>
      <c r="F27" s="2315">
        <f t="shared" si="3"/>
        <v>14933198.632292807</v>
      </c>
      <c r="G27" s="2315"/>
      <c r="H27" s="2315">
        <f>$H$24+SUM($N$22:$N$24)</f>
        <v>103445.25356561874</v>
      </c>
      <c r="I27" s="2315"/>
      <c r="J27" s="2315">
        <f t="shared" si="2"/>
        <v>15036643.885858426</v>
      </c>
      <c r="K27" s="2316"/>
      <c r="L27" s="641">
        <f>+'SWEPCO WS Q Interest Rate'!E21</f>
        <v>3.8999999999999998E-3</v>
      </c>
      <c r="M27" s="642"/>
      <c r="N27" s="2315">
        <f t="shared" si="1"/>
        <v>58642.911154847861</v>
      </c>
      <c r="O27" s="2315"/>
      <c r="P27" s="2315"/>
      <c r="Q27" s="2315"/>
      <c r="R27" s="2315">
        <f>SUM($D$19:D27)+SUM($N$19:N27)</f>
        <v>17059829.979188304</v>
      </c>
      <c r="T27" s="916">
        <v>9</v>
      </c>
    </row>
    <row r="28" spans="2:20" ht="15.75">
      <c r="B28" s="1673">
        <f t="shared" si="0"/>
        <v>43374</v>
      </c>
      <c r="C28" s="1644"/>
      <c r="D28" s="2315">
        <f t="shared" si="4"/>
        <v>1866649.8290366009</v>
      </c>
      <c r="E28" s="2316"/>
      <c r="F28" s="2315">
        <f t="shared" si="3"/>
        <v>16799848.461329408</v>
      </c>
      <c r="G28" s="2315"/>
      <c r="H28" s="2315">
        <f>$H$27+SUM($N$25:$N$27)</f>
        <v>259981.5178588948</v>
      </c>
      <c r="I28" s="2315"/>
      <c r="J28" s="2315">
        <f t="shared" si="2"/>
        <v>17059829.979188304</v>
      </c>
      <c r="K28" s="2316"/>
      <c r="L28" s="641">
        <f>+'SWEPCO WS Q Interest Rate'!E22</f>
        <v>4.1999999999999997E-3</v>
      </c>
      <c r="M28" s="642"/>
      <c r="N28" s="2315">
        <f t="shared" si="1"/>
        <v>71651.285912590873</v>
      </c>
      <c r="O28" s="2315"/>
      <c r="P28" s="2315"/>
      <c r="Q28" s="2315"/>
      <c r="R28" s="2315">
        <f>SUM($D$19:D28)+SUM($N$19:N28)</f>
        <v>18998131.094137494</v>
      </c>
      <c r="T28" s="916">
        <v>10</v>
      </c>
    </row>
    <row r="29" spans="2:20" ht="15.75">
      <c r="B29" s="1673">
        <f t="shared" si="0"/>
        <v>43405</v>
      </c>
      <c r="C29" s="1644"/>
      <c r="D29" s="2315">
        <f>+D28</f>
        <v>1866649.8290366009</v>
      </c>
      <c r="E29" s="2316"/>
      <c r="F29" s="2315">
        <f>D28+F28</f>
        <v>18666498.290366009</v>
      </c>
      <c r="G29" s="2315"/>
      <c r="H29" s="2315">
        <f>$H$27+SUM($N$25:$N$27)</f>
        <v>259981.5178588948</v>
      </c>
      <c r="I29" s="2315"/>
      <c r="J29" s="2315">
        <f t="shared" si="2"/>
        <v>18926479.808224905</v>
      </c>
      <c r="K29" s="2316"/>
      <c r="L29" s="641">
        <f>+'SWEPCO WS Q Interest Rate'!E23</f>
        <v>4.1000000000000003E-3</v>
      </c>
      <c r="M29" s="642"/>
      <c r="N29" s="2315">
        <f t="shared" si="1"/>
        <v>77598.567213722112</v>
      </c>
      <c r="O29" s="2315"/>
      <c r="P29" s="2315"/>
      <c r="Q29" s="2315"/>
      <c r="R29" s="2315">
        <f>SUM($D$19:D29)+SUM($N$19:N29)</f>
        <v>20942379.490387816</v>
      </c>
      <c r="T29" s="916">
        <v>11</v>
      </c>
    </row>
    <row r="30" spans="2:20" ht="15.75">
      <c r="B30" s="1673">
        <f t="shared" si="0"/>
        <v>43435</v>
      </c>
      <c r="C30" s="1644"/>
      <c r="D30" s="2315">
        <f>+D29</f>
        <v>1866649.8290366009</v>
      </c>
      <c r="E30" s="2316"/>
      <c r="F30" s="2315">
        <f>D29+F29</f>
        <v>20533148.11940261</v>
      </c>
      <c r="G30" s="2315"/>
      <c r="H30" s="2315">
        <f>$H$27+SUM($N$25:$N$27)</f>
        <v>259981.5178588948</v>
      </c>
      <c r="I30" s="2315"/>
      <c r="J30" s="2315">
        <f>F30+H30</f>
        <v>20793129.637261506</v>
      </c>
      <c r="K30" s="2316"/>
      <c r="L30" s="641">
        <f>+'SWEPCO WS Q Interest Rate'!E24</f>
        <v>4.1999999999999997E-3</v>
      </c>
      <c r="M30" s="642"/>
      <c r="N30" s="2315">
        <f t="shared" si="1"/>
        <v>87331.144476498317</v>
      </c>
      <c r="O30" s="2317"/>
      <c r="P30" s="2315"/>
      <c r="Q30" s="2315"/>
      <c r="R30" s="2315">
        <f>SUM($D$19:D30)+SUM($N$19:N30)</f>
        <v>22896360.463900916</v>
      </c>
      <c r="T30" s="916">
        <v>12</v>
      </c>
    </row>
    <row r="31" spans="2:20" ht="15.75">
      <c r="B31" s="1644"/>
      <c r="C31" s="1644"/>
      <c r="D31" s="2315"/>
      <c r="E31" s="2316"/>
      <c r="F31" s="2315"/>
      <c r="G31" s="2315"/>
      <c r="H31" s="2315"/>
      <c r="I31" s="2315"/>
      <c r="J31" s="2315"/>
      <c r="K31" s="2316"/>
      <c r="L31" s="1659"/>
      <c r="M31" s="1644"/>
      <c r="N31" s="2317"/>
      <c r="O31" s="2317"/>
      <c r="P31" s="2315"/>
      <c r="Q31" s="2315"/>
      <c r="R31" s="2318"/>
    </row>
    <row r="32" spans="2:20" ht="15.75">
      <c r="B32" s="1672" t="s">
        <v>1113</v>
      </c>
      <c r="C32" s="1644"/>
      <c r="D32" s="2315"/>
      <c r="E32" s="2316"/>
      <c r="F32" s="2315"/>
      <c r="G32" s="2315"/>
      <c r="H32" s="2315"/>
      <c r="I32" s="2315"/>
      <c r="J32" s="2315"/>
      <c r="K32" s="2316"/>
      <c r="L32" s="1659"/>
      <c r="M32" s="1644"/>
      <c r="N32" s="2315"/>
      <c r="O32" s="2315"/>
      <c r="P32" s="2315" t="s">
        <v>256</v>
      </c>
      <c r="Q32" s="2315"/>
      <c r="R32" s="2319"/>
    </row>
    <row r="33" spans="2:20" ht="15.75">
      <c r="B33" s="1673">
        <f t="shared" ref="B33:B44" si="6">DATE($J$10,T33,1)</f>
        <v>43466</v>
      </c>
      <c r="C33" s="1644"/>
      <c r="D33" s="2315">
        <v>0</v>
      </c>
      <c r="E33" s="2316"/>
      <c r="F33" s="2315">
        <f>D30+F30</f>
        <v>22399797.948439211</v>
      </c>
      <c r="G33" s="2315"/>
      <c r="H33" s="2315">
        <f>$H$30+SUM($N$28:$N$30)</f>
        <v>496562.51546170609</v>
      </c>
      <c r="I33" s="2315"/>
      <c r="J33" s="2315">
        <f>F33+H33</f>
        <v>22896360.463900916</v>
      </c>
      <c r="K33" s="2316"/>
      <c r="L33" s="641">
        <f>+'SWEPCO WS Q Interest Rate'!E25</f>
        <v>4.4000000000000003E-3</v>
      </c>
      <c r="M33" s="642"/>
      <c r="N33" s="2315">
        <f t="shared" ref="N33:N44" si="7">J33*L33</f>
        <v>100743.98604116404</v>
      </c>
      <c r="O33" s="2315"/>
      <c r="P33" s="2315"/>
      <c r="Q33" s="2315"/>
      <c r="R33" s="2315">
        <f>SUM($D$19:D33)+SUM($N$19:N33)</f>
        <v>22997104.449942082</v>
      </c>
      <c r="T33" s="916">
        <v>1</v>
      </c>
    </row>
    <row r="34" spans="2:20" ht="15.75">
      <c r="B34" s="1673">
        <f t="shared" si="6"/>
        <v>43497</v>
      </c>
      <c r="C34" s="1644"/>
      <c r="D34" s="2315">
        <v>0</v>
      </c>
      <c r="E34" s="2316"/>
      <c r="F34" s="2315">
        <f>D33+F33</f>
        <v>22399797.948439211</v>
      </c>
      <c r="G34" s="2315"/>
      <c r="H34" s="2315">
        <f>$H$30+SUM($N$28:$N$30)</f>
        <v>496562.51546170609</v>
      </c>
      <c r="I34" s="2315"/>
      <c r="J34" s="2315">
        <f>F34+H34</f>
        <v>22896360.463900916</v>
      </c>
      <c r="K34" s="2316"/>
      <c r="L34" s="641">
        <f>+'SWEPCO WS Q Interest Rate'!E26</f>
        <v>4.0000000000000001E-3</v>
      </c>
      <c r="M34" s="642"/>
      <c r="N34" s="2315">
        <f t="shared" si="7"/>
        <v>91585.441855603669</v>
      </c>
      <c r="O34" s="2315"/>
      <c r="P34" s="2315"/>
      <c r="Q34" s="2315"/>
      <c r="R34" s="2315">
        <f>SUM($D$19:D34)+SUM($N$19:N34)</f>
        <v>23088689.891797684</v>
      </c>
      <c r="T34" s="916">
        <v>2</v>
      </c>
    </row>
    <row r="35" spans="2:20" ht="15.75">
      <c r="B35" s="1673">
        <f t="shared" si="6"/>
        <v>43525</v>
      </c>
      <c r="C35" s="1644"/>
      <c r="D35" s="2315">
        <v>0</v>
      </c>
      <c r="E35" s="2316"/>
      <c r="F35" s="2315">
        <f t="shared" ref="F35:F43" si="8">D34+F34</f>
        <v>22399797.948439211</v>
      </c>
      <c r="G35" s="2315"/>
      <c r="H35" s="2315">
        <f>$H$30+SUM($N$28:$N$30)</f>
        <v>496562.51546170609</v>
      </c>
      <c r="I35" s="2315"/>
      <c r="J35" s="2315">
        <f t="shared" ref="J35:J41" si="9">F35+H35</f>
        <v>22896360.463900916</v>
      </c>
      <c r="K35" s="2316"/>
      <c r="L35" s="641">
        <f>+'SWEPCO WS Q Interest Rate'!E27</f>
        <v>4.4000000000000003E-3</v>
      </c>
      <c r="M35" s="642"/>
      <c r="N35" s="2315">
        <f t="shared" si="7"/>
        <v>100743.98604116404</v>
      </c>
      <c r="O35" s="2315"/>
      <c r="P35" s="2315"/>
      <c r="Q35" s="2315"/>
      <c r="R35" s="2315">
        <f>SUM($D$19:D35)+SUM($N$19:N35)</f>
        <v>23189433.87783885</v>
      </c>
      <c r="T35" s="916">
        <v>3</v>
      </c>
    </row>
    <row r="36" spans="2:20" ht="15.75">
      <c r="B36" s="1673">
        <f t="shared" si="6"/>
        <v>43556</v>
      </c>
      <c r="C36" s="1644"/>
      <c r="D36" s="2315">
        <v>0</v>
      </c>
      <c r="E36" s="2316"/>
      <c r="F36" s="2315">
        <f t="shared" si="8"/>
        <v>22399797.948439211</v>
      </c>
      <c r="G36" s="2315"/>
      <c r="H36" s="2315">
        <f>$H$35+SUM($N$33:$N$35)</f>
        <v>789635.92939963785</v>
      </c>
      <c r="I36" s="2315"/>
      <c r="J36" s="2315">
        <f>F36+H36</f>
        <v>23189433.87783885</v>
      </c>
      <c r="K36" s="2316"/>
      <c r="L36" s="641">
        <f>+'SWEPCO WS Q Interest Rate'!E28</f>
        <v>4.4999999999999997E-3</v>
      </c>
      <c r="M36" s="642"/>
      <c r="N36" s="2315">
        <f t="shared" si="7"/>
        <v>104352.45245027481</v>
      </c>
      <c r="O36" s="2315"/>
      <c r="P36" s="2315"/>
      <c r="Q36" s="2315"/>
      <c r="R36" s="2315">
        <f>SUM($D$19:D36)+SUM($N$19:N36)</f>
        <v>23293786.330289122</v>
      </c>
      <c r="T36" s="916">
        <v>4</v>
      </c>
    </row>
    <row r="37" spans="2:20" ht="15.75">
      <c r="B37" s="1673">
        <f t="shared" si="6"/>
        <v>43586</v>
      </c>
      <c r="C37" s="1644"/>
      <c r="D37" s="2315">
        <v>0</v>
      </c>
      <c r="E37" s="2316"/>
      <c r="F37" s="2315">
        <f t="shared" si="8"/>
        <v>22399797.948439211</v>
      </c>
      <c r="G37" s="2315"/>
      <c r="H37" s="2315">
        <f>$H$35+SUM($N$33:$N$35)</f>
        <v>789635.92939963785</v>
      </c>
      <c r="I37" s="2315"/>
      <c r="J37" s="2315">
        <f t="shared" si="9"/>
        <v>23189433.87783885</v>
      </c>
      <c r="K37" s="2316"/>
      <c r="L37" s="641">
        <f>+'SWEPCO WS Q Interest Rate'!E29</f>
        <v>4.5999999999999999E-3</v>
      </c>
      <c r="M37" s="642"/>
      <c r="N37" s="2315">
        <f t="shared" si="7"/>
        <v>106671.39583805871</v>
      </c>
      <c r="O37" s="2315"/>
      <c r="P37" s="2315"/>
      <c r="Q37" s="2315"/>
      <c r="R37" s="2315">
        <f>SUM($D$19:D37)+SUM($N$19:N37)</f>
        <v>23400457.726127181</v>
      </c>
      <c r="T37" s="916">
        <v>5</v>
      </c>
    </row>
    <row r="38" spans="2:20" ht="15.75">
      <c r="B38" s="1673">
        <f t="shared" si="6"/>
        <v>43617</v>
      </c>
      <c r="C38" s="1644"/>
      <c r="D38" s="2315">
        <v>0</v>
      </c>
      <c r="E38" s="2316"/>
      <c r="F38" s="2315">
        <f t="shared" si="8"/>
        <v>22399797.948439211</v>
      </c>
      <c r="G38" s="2315"/>
      <c r="H38" s="2315">
        <f>$H$35+SUM($N$33:$N$35)</f>
        <v>789635.92939963785</v>
      </c>
      <c r="I38" s="2315"/>
      <c r="J38" s="2315">
        <f t="shared" si="9"/>
        <v>23189433.87783885</v>
      </c>
      <c r="K38" s="2316"/>
      <c r="L38" s="641">
        <f>+'SWEPCO WS Q Interest Rate'!E30</f>
        <v>4.4999999999999997E-3</v>
      </c>
      <c r="M38" s="642"/>
      <c r="N38" s="2315">
        <f t="shared" si="7"/>
        <v>104352.45245027481</v>
      </c>
      <c r="O38" s="2315"/>
      <c r="P38" s="2315"/>
      <c r="Q38" s="2315"/>
      <c r="R38" s="2315">
        <f>SUM($D$19:D38)+SUM($N$19:N38)</f>
        <v>23504810.178577457</v>
      </c>
      <c r="T38" s="916">
        <v>6</v>
      </c>
    </row>
    <row r="39" spans="2:20" ht="15.75">
      <c r="B39" s="1673">
        <f t="shared" si="6"/>
        <v>43647</v>
      </c>
      <c r="C39" s="1644"/>
      <c r="D39" s="2315">
        <v>0</v>
      </c>
      <c r="E39" s="2316"/>
      <c r="F39" s="2315">
        <f t="shared" si="8"/>
        <v>22399797.948439211</v>
      </c>
      <c r="G39" s="2315"/>
      <c r="H39" s="2315">
        <f>$H$38+SUM($N$36:$N$38)</f>
        <v>1105012.2301382462</v>
      </c>
      <c r="I39" s="2315"/>
      <c r="J39" s="2315">
        <f>F39+H39</f>
        <v>23504810.178577457</v>
      </c>
      <c r="K39" s="2316"/>
      <c r="L39" s="641">
        <f>+'SWEPCO WS Q Interest Rate'!E31</f>
        <v>4.4999999999999997E-3</v>
      </c>
      <c r="M39" s="642"/>
      <c r="N39" s="2315">
        <f t="shared" si="7"/>
        <v>105771.64580359854</v>
      </c>
      <c r="O39" s="2315"/>
      <c r="P39" s="2315"/>
      <c r="Q39" s="2315"/>
      <c r="R39" s="2315">
        <f>SUM($D$19:D39)+SUM($N$19:N39)</f>
        <v>23610581.824381053</v>
      </c>
      <c r="T39" s="916">
        <v>7</v>
      </c>
    </row>
    <row r="40" spans="2:20" ht="15.75">
      <c r="B40" s="1673">
        <f t="shared" si="6"/>
        <v>43678</v>
      </c>
      <c r="C40" s="1644"/>
      <c r="D40" s="2315">
        <v>0</v>
      </c>
      <c r="E40" s="2316"/>
      <c r="F40" s="2315">
        <f t="shared" si="8"/>
        <v>22399797.948439211</v>
      </c>
      <c r="G40" s="2315"/>
      <c r="H40" s="2315">
        <f>$H$38+SUM($N$36:$N$38)</f>
        <v>1105012.2301382462</v>
      </c>
      <c r="I40" s="2315"/>
      <c r="J40" s="2315">
        <f t="shared" si="9"/>
        <v>23504810.178577457</v>
      </c>
      <c r="K40" s="2316"/>
      <c r="L40" s="641">
        <f>+'SWEPCO WS Q Interest Rate'!E32</f>
        <v>4.4999999999999997E-3</v>
      </c>
      <c r="M40" s="642"/>
      <c r="N40" s="2315">
        <f t="shared" si="7"/>
        <v>105771.64580359854</v>
      </c>
      <c r="O40" s="2315"/>
      <c r="P40" s="2315"/>
      <c r="Q40" s="2315"/>
      <c r="R40" s="2315">
        <f>SUM($D$19:D40)+SUM($N$19:N40)</f>
        <v>23716353.470184654</v>
      </c>
      <c r="T40" s="916">
        <v>8</v>
      </c>
    </row>
    <row r="41" spans="2:20" ht="15.75">
      <c r="B41" s="1673">
        <f t="shared" si="6"/>
        <v>43709</v>
      </c>
      <c r="C41" s="1644"/>
      <c r="D41" s="2315">
        <v>0</v>
      </c>
      <c r="E41" s="2316"/>
      <c r="F41" s="2315">
        <f t="shared" si="8"/>
        <v>22399797.948439211</v>
      </c>
      <c r="G41" s="2315"/>
      <c r="H41" s="2315">
        <f>$H$38+SUM($N$36:$N$38)</f>
        <v>1105012.2301382462</v>
      </c>
      <c r="I41" s="2315"/>
      <c r="J41" s="2315">
        <f t="shared" si="9"/>
        <v>23504810.178577457</v>
      </c>
      <c r="K41" s="2316"/>
      <c r="L41" s="641">
        <f>+'SWEPCO WS Q Interest Rate'!E33</f>
        <v>4.4999999999999997E-3</v>
      </c>
      <c r="M41" s="642"/>
      <c r="N41" s="2315">
        <f t="shared" si="7"/>
        <v>105771.64580359854</v>
      </c>
      <c r="O41" s="2315"/>
      <c r="P41" s="2315"/>
      <c r="Q41" s="2315"/>
      <c r="R41" s="2315">
        <f>SUM($D$19:D41)+SUM($N$19:N41)</f>
        <v>23822125.115988251</v>
      </c>
      <c r="T41" s="916">
        <v>9</v>
      </c>
    </row>
    <row r="42" spans="2:20" ht="15.75">
      <c r="B42" s="1673">
        <f t="shared" si="6"/>
        <v>43739</v>
      </c>
      <c r="C42" s="1644"/>
      <c r="D42" s="2315">
        <v>0</v>
      </c>
      <c r="E42" s="2316"/>
      <c r="F42" s="2315">
        <f t="shared" si="8"/>
        <v>22399797.948439211</v>
      </c>
      <c r="G42" s="2315"/>
      <c r="H42" s="2315">
        <f>$H$41+SUM($N$39:$N$41)</f>
        <v>1422327.1675490418</v>
      </c>
      <c r="I42" s="2315"/>
      <c r="J42" s="2315">
        <f>F42+H42</f>
        <v>23822125.115988251</v>
      </c>
      <c r="K42" s="2316"/>
      <c r="L42" s="641">
        <f>+'SWEPCO WS Q Interest Rate'!E34</f>
        <v>4.4999999999999997E-3</v>
      </c>
      <c r="M42" s="642"/>
      <c r="N42" s="2315">
        <f t="shared" si="7"/>
        <v>107199.56302194712</v>
      </c>
      <c r="O42" s="2315"/>
      <c r="P42" s="2315"/>
      <c r="Q42" s="2315"/>
      <c r="R42" s="2315">
        <f>SUM($D$19:D42)+SUM($N$19:N42)</f>
        <v>23929324.679010198</v>
      </c>
      <c r="T42" s="916">
        <v>10</v>
      </c>
    </row>
    <row r="43" spans="2:20" ht="15.75">
      <c r="B43" s="1673">
        <f t="shared" si="6"/>
        <v>43770</v>
      </c>
      <c r="C43" s="1644"/>
      <c r="D43" s="2315">
        <v>0</v>
      </c>
      <c r="E43" s="2316"/>
      <c r="F43" s="2315">
        <f t="shared" si="8"/>
        <v>22399797.948439211</v>
      </c>
      <c r="G43" s="2315"/>
      <c r="H43" s="2315">
        <f>$H$41+SUM($N$39:$N$41)</f>
        <v>1422327.1675490418</v>
      </c>
      <c r="I43" s="2315"/>
      <c r="J43" s="2315">
        <f>F43+H43</f>
        <v>23822125.115988251</v>
      </c>
      <c r="K43" s="2316"/>
      <c r="L43" s="641">
        <f>+'SWEPCO WS Q Interest Rate'!E35</f>
        <v>4.4999999999999997E-3</v>
      </c>
      <c r="M43" s="642"/>
      <c r="N43" s="2315">
        <f t="shared" si="7"/>
        <v>107199.56302194712</v>
      </c>
      <c r="O43" s="2315"/>
      <c r="P43" s="2315"/>
      <c r="Q43" s="2315"/>
      <c r="R43" s="2315">
        <f>SUM($D$19:D43)+SUM($N$19:N43)</f>
        <v>24036524.242032148</v>
      </c>
      <c r="T43" s="916">
        <v>11</v>
      </c>
    </row>
    <row r="44" spans="2:20" ht="15.75">
      <c r="B44" s="1673">
        <f t="shared" si="6"/>
        <v>43800</v>
      </c>
      <c r="C44" s="1644"/>
      <c r="D44" s="2315">
        <v>0</v>
      </c>
      <c r="E44" s="2316"/>
      <c r="F44" s="2315">
        <f>D43+F43</f>
        <v>22399797.948439211</v>
      </c>
      <c r="G44" s="2315"/>
      <c r="H44" s="2315">
        <f>$H$41+SUM($N$39:$N$41)</f>
        <v>1422327.1675490418</v>
      </c>
      <c r="I44" s="2315"/>
      <c r="J44" s="2315">
        <f>F44+H44</f>
        <v>23822125.115988251</v>
      </c>
      <c r="K44" s="2316"/>
      <c r="L44" s="641">
        <f>+'SWEPCO WS Q Interest Rate'!E36</f>
        <v>4.4999999999999997E-3</v>
      </c>
      <c r="M44" s="642"/>
      <c r="N44" s="2315">
        <f t="shared" si="7"/>
        <v>107199.56302194712</v>
      </c>
      <c r="O44" s="2317"/>
      <c r="P44" s="2315"/>
      <c r="Q44" s="2315"/>
      <c r="R44" s="2315">
        <f>SUM($D$19:D44)+SUM($N$19:N44)</f>
        <v>24143723.805054095</v>
      </c>
      <c r="T44" s="916">
        <v>12</v>
      </c>
    </row>
    <row r="45" spans="2:20" ht="15.75">
      <c r="B45" s="1644"/>
      <c r="C45" s="1644"/>
      <c r="D45" s="2315"/>
      <c r="E45" s="1657"/>
      <c r="F45" s="2315"/>
      <c r="G45" s="2315"/>
      <c r="H45" s="2315"/>
      <c r="I45" s="2315"/>
      <c r="J45" s="2315"/>
      <c r="K45" s="1657"/>
      <c r="L45" s="1659"/>
      <c r="M45" s="1644"/>
      <c r="N45" s="2320"/>
      <c r="O45" s="2320"/>
      <c r="P45" s="2315"/>
      <c r="Q45" s="2315"/>
      <c r="R45" s="2315"/>
      <c r="T45" s="2321"/>
    </row>
    <row r="46" spans="2:20" ht="15.75">
      <c r="B46" s="1678" t="s">
        <v>1114</v>
      </c>
      <c r="C46" s="1644"/>
      <c r="D46" s="2315"/>
      <c r="E46" s="2316"/>
      <c r="F46" s="2315"/>
      <c r="G46" s="2315"/>
      <c r="H46" s="2315"/>
      <c r="I46" s="2315"/>
      <c r="J46" s="2315"/>
      <c r="K46" s="2316"/>
      <c r="L46" s="1659"/>
      <c r="M46" s="1644"/>
      <c r="N46" s="2322"/>
      <c r="O46" s="2322"/>
      <c r="P46" s="2315"/>
      <c r="Q46" s="2315"/>
      <c r="R46" s="2315"/>
    </row>
    <row r="47" spans="2:20" ht="15.75">
      <c r="B47" s="1680" t="s">
        <v>420</v>
      </c>
      <c r="C47" s="1644"/>
      <c r="D47" s="2315"/>
      <c r="E47" s="2316"/>
      <c r="F47" s="2315"/>
      <c r="G47" s="2315"/>
      <c r="H47" s="2315"/>
      <c r="I47" s="2315"/>
      <c r="J47" s="2315"/>
      <c r="K47" s="2316"/>
      <c r="L47" s="1659"/>
      <c r="M47" s="1644"/>
      <c r="N47" s="2322"/>
      <c r="O47" s="2322"/>
      <c r="P47" s="2315"/>
      <c r="Q47" s="2315"/>
      <c r="R47" s="2315"/>
    </row>
    <row r="48" spans="2:20" ht="15.75">
      <c r="B48" s="1673">
        <f t="shared" ref="B48:B59" si="10">DATE($J$11,T48,1)</f>
        <v>43831</v>
      </c>
      <c r="C48" s="1644"/>
      <c r="D48" s="2315">
        <v>0</v>
      </c>
      <c r="E48" s="1681"/>
      <c r="F48" s="2315">
        <f>D44+F44</f>
        <v>22399797.948439211</v>
      </c>
      <c r="G48" s="2318"/>
      <c r="H48" s="2315">
        <f>$H$44+SUM($N$42:$N$44)</f>
        <v>1743925.8566148831</v>
      </c>
      <c r="I48" s="2315"/>
      <c r="J48" s="2315">
        <f>F48+H48</f>
        <v>24143723.805054095</v>
      </c>
      <c r="K48" s="1657"/>
      <c r="L48" s="641">
        <f>+'SWEPCO WS Q Interest Rate'!$E$39</f>
        <v>4.4499999999999991E-3</v>
      </c>
      <c r="M48" s="1644"/>
      <c r="N48" s="2315">
        <f t="shared" ref="N48:N59" si="11">J48*L48</f>
        <v>107439.57093249069</v>
      </c>
      <c r="O48" s="2315"/>
      <c r="P48" s="2315">
        <f>PMT(L48,12,$R$44)</f>
        <v>-2070647.1280750153</v>
      </c>
      <c r="Q48" s="2315"/>
      <c r="R48" s="2315">
        <f>SUM($D$19:D48)+SUM($N$19:N48)+SUM($P$48:P48)</f>
        <v>22180516.247911569</v>
      </c>
      <c r="T48" s="916">
        <v>1</v>
      </c>
    </row>
    <row r="49" spans="2:20" ht="15.75">
      <c r="B49" s="1673">
        <f t="shared" si="10"/>
        <v>43862</v>
      </c>
      <c r="C49" s="1644"/>
      <c r="D49" s="2315">
        <v>0</v>
      </c>
      <c r="E49" s="1657"/>
      <c r="F49" s="2315">
        <f>D48+F48</f>
        <v>22399797.948439211</v>
      </c>
      <c r="G49" s="2315"/>
      <c r="H49" s="2315">
        <f>$H$44+SUM($N$42:$N$44)</f>
        <v>1743925.8566148831</v>
      </c>
      <c r="I49" s="2315"/>
      <c r="J49" s="2315">
        <f>R48</f>
        <v>22180516.247911569</v>
      </c>
      <c r="K49" s="1657"/>
      <c r="L49" s="641">
        <f>+'SWEPCO WS Q Interest Rate'!$E$39</f>
        <v>4.4499999999999991E-3</v>
      </c>
      <c r="M49" s="1644"/>
      <c r="N49" s="2315">
        <f t="shared" si="11"/>
        <v>98703.297303206462</v>
      </c>
      <c r="O49" s="2315"/>
      <c r="P49" s="2315">
        <f t="shared" ref="P49:P59" si="12">PMT(L49,12,$R$44)</f>
        <v>-2070647.1280750153</v>
      </c>
      <c r="Q49" s="2315"/>
      <c r="R49" s="2315">
        <f>SUM($D$19:D49)+SUM($N$19:N49)+SUM($P$48:P49)</f>
        <v>20208572.417139761</v>
      </c>
      <c r="T49" s="916">
        <v>2</v>
      </c>
    </row>
    <row r="50" spans="2:20" ht="15.75">
      <c r="B50" s="1673">
        <f t="shared" si="10"/>
        <v>43891</v>
      </c>
      <c r="C50" s="1644"/>
      <c r="D50" s="2315">
        <v>0</v>
      </c>
      <c r="E50" s="1657"/>
      <c r="F50" s="2315">
        <f t="shared" ref="F50:F58" si="13">D49+F49</f>
        <v>22399797.948439211</v>
      </c>
      <c r="G50" s="2315"/>
      <c r="H50" s="2315">
        <f>$H$44+SUM($N$42:$N$44)</f>
        <v>1743925.8566148831</v>
      </c>
      <c r="I50" s="2315"/>
      <c r="J50" s="2315">
        <f t="shared" ref="J50:J59" si="14">R49</f>
        <v>20208572.417139761</v>
      </c>
      <c r="K50" s="1657"/>
      <c r="L50" s="641">
        <f>+'SWEPCO WS Q Interest Rate'!$E$39</f>
        <v>4.4499999999999991E-3</v>
      </c>
      <c r="M50" s="1644"/>
      <c r="N50" s="2315">
        <f t="shared" si="11"/>
        <v>89928.147256271914</v>
      </c>
      <c r="O50" s="2315"/>
      <c r="P50" s="2315">
        <f t="shared" si="12"/>
        <v>-2070647.1280750153</v>
      </c>
      <c r="Q50" s="2315"/>
      <c r="R50" s="2315">
        <f>SUM($D$19:D50)+SUM($N$19:N50)+SUM($P$48:P50)</f>
        <v>18227853.43632102</v>
      </c>
      <c r="T50" s="916">
        <v>3</v>
      </c>
    </row>
    <row r="51" spans="2:20" ht="15.75">
      <c r="B51" s="1673">
        <f t="shared" si="10"/>
        <v>43922</v>
      </c>
      <c r="C51" s="1644"/>
      <c r="D51" s="2315">
        <v>0</v>
      </c>
      <c r="E51" s="1657"/>
      <c r="F51" s="2315">
        <f t="shared" si="13"/>
        <v>22399797.948439211</v>
      </c>
      <c r="G51" s="2315"/>
      <c r="H51" s="2315">
        <f>$H$50+SUM($N$48:$N$50)</f>
        <v>2039996.872106852</v>
      </c>
      <c r="I51" s="2315"/>
      <c r="J51" s="2315">
        <f t="shared" si="14"/>
        <v>18227853.43632102</v>
      </c>
      <c r="K51" s="1657"/>
      <c r="L51" s="641">
        <f>+'SWEPCO WS Q Interest Rate'!$E$39</f>
        <v>4.4499999999999991E-3</v>
      </c>
      <c r="M51" s="1644"/>
      <c r="N51" s="2315">
        <f t="shared" si="11"/>
        <v>81113.947791628525</v>
      </c>
      <c r="O51" s="2315"/>
      <c r="P51" s="2315">
        <f t="shared" si="12"/>
        <v>-2070647.1280750153</v>
      </c>
      <c r="Q51" s="2315"/>
      <c r="R51" s="2315">
        <f>SUM($D$19:D51)+SUM($N$19:N51)+SUM($P$48:P51)</f>
        <v>16238320.256037628</v>
      </c>
      <c r="T51" s="916">
        <v>4</v>
      </c>
    </row>
    <row r="52" spans="2:20" ht="15.75">
      <c r="B52" s="1673">
        <f t="shared" si="10"/>
        <v>43952</v>
      </c>
      <c r="C52" s="1644"/>
      <c r="D52" s="2315">
        <v>0</v>
      </c>
      <c r="E52" s="1657"/>
      <c r="F52" s="2315">
        <f t="shared" si="13"/>
        <v>22399797.948439211</v>
      </c>
      <c r="G52" s="2315"/>
      <c r="H52" s="2315">
        <f>$H$50+SUM($N$48:$N$50)</f>
        <v>2039996.872106852</v>
      </c>
      <c r="I52" s="2315"/>
      <c r="J52" s="2315">
        <f t="shared" si="14"/>
        <v>16238320.256037628</v>
      </c>
      <c r="K52" s="1657"/>
      <c r="L52" s="641">
        <f>+'SWEPCO WS Q Interest Rate'!$E$39</f>
        <v>4.4499999999999991E-3</v>
      </c>
      <c r="M52" s="1644"/>
      <c r="N52" s="2315">
        <f t="shared" si="11"/>
        <v>72260.525139367426</v>
      </c>
      <c r="O52" s="2315"/>
      <c r="P52" s="2315">
        <f t="shared" si="12"/>
        <v>-2070647.1280750153</v>
      </c>
      <c r="Q52" s="2315"/>
      <c r="R52" s="2315">
        <f>SUM($D$19:D52)+SUM($N$19:N52)+SUM($P$48:P52)</f>
        <v>14239933.653101983</v>
      </c>
      <c r="T52" s="916">
        <v>5</v>
      </c>
    </row>
    <row r="53" spans="2:20" ht="15.75">
      <c r="B53" s="1673">
        <f t="shared" si="10"/>
        <v>43983</v>
      </c>
      <c r="C53" s="926"/>
      <c r="D53" s="2315">
        <v>0</v>
      </c>
      <c r="E53" s="1657"/>
      <c r="F53" s="2315">
        <f t="shared" si="13"/>
        <v>22399797.948439211</v>
      </c>
      <c r="G53" s="2315"/>
      <c r="H53" s="2315">
        <f>$H$50+SUM($N$48:$N$50)</f>
        <v>2039996.872106852</v>
      </c>
      <c r="I53" s="2315"/>
      <c r="J53" s="2315">
        <f t="shared" si="14"/>
        <v>14239933.653101983</v>
      </c>
      <c r="K53" s="1657"/>
      <c r="L53" s="641">
        <f>+'SWEPCO WS Q Interest Rate'!$E$39</f>
        <v>4.4499999999999991E-3</v>
      </c>
      <c r="M53" s="1644"/>
      <c r="N53" s="2315">
        <f t="shared" si="11"/>
        <v>63367.704756303807</v>
      </c>
      <c r="O53" s="2315"/>
      <c r="P53" s="2315">
        <f t="shared" si="12"/>
        <v>-2070647.1280750153</v>
      </c>
      <c r="Q53" s="2315"/>
      <c r="R53" s="2315">
        <f>SUM($D$19:D53)+SUM($N$19:N53)+SUM($P$48:P53)</f>
        <v>12232654.229783272</v>
      </c>
      <c r="T53" s="916">
        <v>6</v>
      </c>
    </row>
    <row r="54" spans="2:20" ht="15.75">
      <c r="B54" s="1673">
        <f t="shared" si="10"/>
        <v>44013</v>
      </c>
      <c r="C54" s="1644"/>
      <c r="D54" s="2315">
        <v>0</v>
      </c>
      <c r="E54" s="1657"/>
      <c r="F54" s="2315">
        <f t="shared" si="13"/>
        <v>22399797.948439211</v>
      </c>
      <c r="G54" s="2315"/>
      <c r="H54" s="2315">
        <f>$H$53+SUM($N$51:$N$53)</f>
        <v>2256739.0497941519</v>
      </c>
      <c r="I54" s="2315"/>
      <c r="J54" s="2315">
        <f t="shared" si="14"/>
        <v>12232654.229783272</v>
      </c>
      <c r="K54" s="1657"/>
      <c r="L54" s="641">
        <f>+'SWEPCO WS Q Interest Rate'!$E$39</f>
        <v>4.4499999999999991E-3</v>
      </c>
      <c r="M54" s="1644"/>
      <c r="N54" s="2315">
        <f t="shared" si="11"/>
        <v>54435.311322535548</v>
      </c>
      <c r="O54" s="2315"/>
      <c r="P54" s="2315">
        <f t="shared" si="12"/>
        <v>-2070647.1280750153</v>
      </c>
      <c r="Q54" s="2315"/>
      <c r="R54" s="2315">
        <f>SUM($D$19:D54)+SUM($N$19:N54)+SUM($P$48:P54)</f>
        <v>10216442.41303079</v>
      </c>
      <c r="T54" s="916">
        <v>7</v>
      </c>
    </row>
    <row r="55" spans="2:20" ht="15.75">
      <c r="B55" s="1673">
        <f t="shared" si="10"/>
        <v>44044</v>
      </c>
      <c r="C55" s="1644"/>
      <c r="D55" s="2315">
        <v>0</v>
      </c>
      <c r="E55" s="1657"/>
      <c r="F55" s="2315">
        <f t="shared" si="13"/>
        <v>22399797.948439211</v>
      </c>
      <c r="G55" s="2315"/>
      <c r="H55" s="2315">
        <f>$H$53+SUM($N$51:$N$53)</f>
        <v>2256739.0497941519</v>
      </c>
      <c r="I55" s="2315"/>
      <c r="J55" s="2315">
        <f t="shared" si="14"/>
        <v>10216442.41303079</v>
      </c>
      <c r="K55" s="1657"/>
      <c r="L55" s="641">
        <f>+'SWEPCO WS Q Interest Rate'!$E$39</f>
        <v>4.4499999999999991E-3</v>
      </c>
      <c r="M55" s="1644"/>
      <c r="N55" s="2315">
        <f t="shared" si="11"/>
        <v>45463.168737987005</v>
      </c>
      <c r="O55" s="2315"/>
      <c r="P55" s="2315">
        <f t="shared" si="12"/>
        <v>-2070647.1280750153</v>
      </c>
      <c r="Q55" s="2315"/>
      <c r="R55" s="2315">
        <f>SUM($D$19:D55)+SUM($N$19:N55)+SUM($P$48:P55)</f>
        <v>8191258.4536937643</v>
      </c>
      <c r="T55" s="916">
        <v>8</v>
      </c>
    </row>
    <row r="56" spans="2:20" ht="15.75">
      <c r="B56" s="1673">
        <f t="shared" si="10"/>
        <v>44075</v>
      </c>
      <c r="C56" s="1644"/>
      <c r="D56" s="2315">
        <v>0</v>
      </c>
      <c r="E56" s="1657"/>
      <c r="F56" s="2315">
        <f t="shared" si="13"/>
        <v>22399797.948439211</v>
      </c>
      <c r="G56" s="2315"/>
      <c r="H56" s="2315">
        <f>$H$53+SUM($N$51:$N$53)</f>
        <v>2256739.0497941519</v>
      </c>
      <c r="I56" s="2315"/>
      <c r="J56" s="2315">
        <f t="shared" si="14"/>
        <v>8191258.4536937643</v>
      </c>
      <c r="K56" s="1657"/>
      <c r="L56" s="641">
        <f>+'SWEPCO WS Q Interest Rate'!$E$39</f>
        <v>4.4499999999999991E-3</v>
      </c>
      <c r="M56" s="1644"/>
      <c r="N56" s="2315">
        <f t="shared" si="11"/>
        <v>36451.10011893724</v>
      </c>
      <c r="O56" s="2315"/>
      <c r="P56" s="2315">
        <f t="shared" si="12"/>
        <v>-2070647.1280750153</v>
      </c>
      <c r="Q56" s="2315"/>
      <c r="R56" s="2315">
        <f>SUM($D$19:D56)+SUM($N$19:N56)+SUM($P$48:P56)</f>
        <v>6157062.4257376865</v>
      </c>
      <c r="T56" s="916">
        <v>9</v>
      </c>
    </row>
    <row r="57" spans="2:20" ht="15.75">
      <c r="B57" s="1673">
        <f t="shared" si="10"/>
        <v>44105</v>
      </c>
      <c r="C57" s="1644"/>
      <c r="D57" s="2315">
        <v>0</v>
      </c>
      <c r="E57" s="1657"/>
      <c r="F57" s="2315">
        <f t="shared" si="13"/>
        <v>22399797.948439211</v>
      </c>
      <c r="G57" s="2315"/>
      <c r="H57" s="2315">
        <f>$H$56+SUM($N$54:$N$56)</f>
        <v>2393088.6299736118</v>
      </c>
      <c r="I57" s="2315"/>
      <c r="J57" s="2315">
        <f t="shared" si="14"/>
        <v>6157062.4257376865</v>
      </c>
      <c r="K57" s="1657"/>
      <c r="L57" s="641">
        <f>+'SWEPCO WS Q Interest Rate'!$E$39</f>
        <v>4.4499999999999991E-3</v>
      </c>
      <c r="M57" s="1644"/>
      <c r="N57" s="2315">
        <f t="shared" si="11"/>
        <v>27398.927794532698</v>
      </c>
      <c r="O57" s="2315"/>
      <c r="P57" s="2315">
        <f t="shared" si="12"/>
        <v>-2070647.1280750153</v>
      </c>
      <c r="Q57" s="2315"/>
      <c r="R57" s="2315">
        <f>SUM($D$19:D57)+SUM($N$19:N57)+SUM($P$48:P57)</f>
        <v>4113814.2254572026</v>
      </c>
      <c r="T57" s="916">
        <v>10</v>
      </c>
    </row>
    <row r="58" spans="2:20" ht="15.75">
      <c r="B58" s="1673">
        <f t="shared" si="10"/>
        <v>44136</v>
      </c>
      <c r="C58" s="1644"/>
      <c r="D58" s="2315">
        <v>0</v>
      </c>
      <c r="E58" s="1657"/>
      <c r="F58" s="2315">
        <f t="shared" si="13"/>
        <v>22399797.948439211</v>
      </c>
      <c r="G58" s="2315"/>
      <c r="H58" s="2315">
        <f>$H$56+SUM($N$54:$N$56)</f>
        <v>2393088.6299736118</v>
      </c>
      <c r="I58" s="2315"/>
      <c r="J58" s="2315">
        <f t="shared" si="14"/>
        <v>4113814.2254572026</v>
      </c>
      <c r="K58" s="1657"/>
      <c r="L58" s="641">
        <f>+'SWEPCO WS Q Interest Rate'!$E$39</f>
        <v>4.4499999999999991E-3</v>
      </c>
      <c r="M58" s="1644"/>
      <c r="N58" s="2315">
        <f t="shared" si="11"/>
        <v>18306.473303284547</v>
      </c>
      <c r="O58" s="2315"/>
      <c r="P58" s="2315">
        <f t="shared" si="12"/>
        <v>-2070647.1280750153</v>
      </c>
      <c r="Q58" s="2315"/>
      <c r="R58" s="2315">
        <f>SUM($D$19:D58)+SUM($N$19:N58)+SUM($P$48:P58)</f>
        <v>2061473.5706854723</v>
      </c>
      <c r="S58" s="1682"/>
      <c r="T58" s="916">
        <v>11</v>
      </c>
    </row>
    <row r="59" spans="2:20" ht="16.5" thickBot="1">
      <c r="B59" s="1683">
        <f t="shared" si="10"/>
        <v>44166</v>
      </c>
      <c r="C59" s="1684"/>
      <c r="D59" s="2323">
        <v>0</v>
      </c>
      <c r="E59" s="1660"/>
      <c r="F59" s="2323">
        <f>D58+F58</f>
        <v>22399797.948439211</v>
      </c>
      <c r="G59" s="2323"/>
      <c r="H59" s="2323">
        <f>$H$56+SUM($N$54:$N$56)</f>
        <v>2393088.6299736118</v>
      </c>
      <c r="I59" s="2323"/>
      <c r="J59" s="2323">
        <f t="shared" si="14"/>
        <v>2061473.5706854723</v>
      </c>
      <c r="K59" s="1660"/>
      <c r="L59" s="645">
        <f>+'SWEPCO WS Q Interest Rate'!$E$39</f>
        <v>4.4499999999999991E-3</v>
      </c>
      <c r="M59" s="1684"/>
      <c r="N59" s="2323">
        <f t="shared" si="11"/>
        <v>9173.5573895503494</v>
      </c>
      <c r="O59" s="2323"/>
      <c r="P59" s="2323">
        <f t="shared" si="12"/>
        <v>-2070647.1280750153</v>
      </c>
      <c r="Q59" s="2323"/>
      <c r="R59" s="2323">
        <f>SUM($D$19:D59)+SUM($N$19:N59)+SUM($P$48:P59)</f>
        <v>0</v>
      </c>
      <c r="T59" s="916">
        <v>12</v>
      </c>
    </row>
    <row r="60" spans="2:20" ht="15.75">
      <c r="B60" s="1644"/>
      <c r="C60" s="1644"/>
      <c r="D60" s="1657"/>
      <c r="E60" s="1657"/>
      <c r="F60" s="1657"/>
      <c r="G60" s="1657"/>
      <c r="H60" s="1657"/>
      <c r="I60" s="1657"/>
      <c r="J60" s="1657"/>
      <c r="K60" s="1657"/>
      <c r="L60" s="1644"/>
      <c r="M60" s="1644"/>
      <c r="N60" s="2315"/>
      <c r="O60" s="2315"/>
      <c r="P60" s="2315"/>
      <c r="Q60" s="2315"/>
      <c r="R60" s="2315"/>
    </row>
    <row r="61" spans="2:20" ht="15">
      <c r="B61" s="926"/>
      <c r="C61" s="926"/>
      <c r="D61" s="926"/>
      <c r="E61" s="926"/>
      <c r="F61" s="926"/>
      <c r="G61" s="926"/>
      <c r="H61" s="926"/>
      <c r="I61" s="926"/>
      <c r="J61" s="926"/>
      <c r="K61" s="926"/>
      <c r="L61" s="926"/>
      <c r="M61" s="926"/>
      <c r="N61" s="2319"/>
      <c r="O61" s="2319"/>
      <c r="P61" s="2319"/>
      <c r="Q61" s="2319"/>
      <c r="R61" s="2319"/>
    </row>
    <row r="62" spans="2:20" ht="15.75">
      <c r="B62" s="1685" t="s">
        <v>1115</v>
      </c>
      <c r="C62" s="1686"/>
      <c r="D62" s="1686"/>
      <c r="E62" s="1686"/>
      <c r="F62" s="1686"/>
      <c r="G62" s="1686"/>
      <c r="H62" s="1686"/>
      <c r="I62" s="1686"/>
      <c r="J62" s="1686"/>
      <c r="K62" s="1686"/>
      <c r="L62" s="1686"/>
      <c r="M62" s="1686"/>
      <c r="N62" s="2324"/>
      <c r="O62" s="2324"/>
      <c r="P62" s="2325">
        <f>(SUM(P48:P59)*-1)</f>
        <v>24847765.536900181</v>
      </c>
      <c r="Q62" s="2319"/>
      <c r="R62" s="2319"/>
    </row>
    <row r="63" spans="2:20" ht="15.75">
      <c r="B63" s="1688" t="s">
        <v>1116</v>
      </c>
      <c r="C63" s="1689"/>
      <c r="D63" s="1689"/>
      <c r="E63" s="1689"/>
      <c r="F63" s="1689"/>
      <c r="G63" s="1689"/>
      <c r="H63" s="1689"/>
      <c r="I63" s="1689"/>
      <c r="J63" s="1689"/>
      <c r="K63" s="1689"/>
      <c r="L63" s="1689"/>
      <c r="M63" s="1689"/>
      <c r="N63" s="2326"/>
      <c r="O63" s="2326"/>
      <c r="P63" s="2317">
        <f>+F11</f>
        <v>22399797.948439211</v>
      </c>
      <c r="Q63" s="2319"/>
      <c r="R63" s="2319"/>
    </row>
    <row r="64" spans="2:20" ht="15.75">
      <c r="B64" s="1691" t="s">
        <v>1117</v>
      </c>
      <c r="C64" s="1692"/>
      <c r="D64" s="1692"/>
      <c r="E64" s="1692"/>
      <c r="F64" s="1692"/>
      <c r="G64" s="1692"/>
      <c r="H64" s="1692"/>
      <c r="I64" s="1692"/>
      <c r="J64" s="1692"/>
      <c r="K64" s="1692"/>
      <c r="L64" s="1692"/>
      <c r="M64" s="1692"/>
      <c r="N64" s="2327"/>
      <c r="O64" s="2327"/>
      <c r="P64" s="2328">
        <f>+(P62-P63)</f>
        <v>2447967.5884609707</v>
      </c>
      <c r="Q64" s="2319"/>
      <c r="R64" s="2319"/>
    </row>
    <row r="65" spans="2:18">
      <c r="B65" s="791"/>
      <c r="C65" s="791"/>
      <c r="D65" s="791"/>
      <c r="E65" s="791"/>
      <c r="F65" s="791"/>
      <c r="G65" s="791"/>
      <c r="H65" s="791"/>
      <c r="I65" s="791"/>
      <c r="J65" s="791"/>
      <c r="K65" s="791"/>
      <c r="L65" s="791"/>
      <c r="M65" s="791"/>
      <c r="N65" s="791"/>
      <c r="O65" s="791"/>
      <c r="P65" s="791"/>
      <c r="Q65" s="791"/>
      <c r="R65" s="791"/>
    </row>
    <row r="66" spans="2:18" ht="15.75" customHeight="1">
      <c r="B66" s="2524" t="s">
        <v>1355</v>
      </c>
      <c r="C66" s="2524"/>
      <c r="D66" s="2524"/>
      <c r="E66" s="2524"/>
      <c r="F66" s="2524"/>
      <c r="G66" s="2524"/>
      <c r="H66" s="2524"/>
      <c r="I66" s="2524"/>
      <c r="J66" s="2524"/>
      <c r="K66" s="2524"/>
      <c r="L66" s="2524"/>
      <c r="M66" s="2524"/>
      <c r="N66" s="2524"/>
      <c r="O66" s="2524"/>
      <c r="P66" s="2524"/>
      <c r="Q66" s="1694"/>
      <c r="R66" s="1694"/>
    </row>
    <row r="67" spans="2:18" ht="12.75" customHeight="1">
      <c r="B67" s="2524"/>
      <c r="C67" s="2524"/>
      <c r="D67" s="2524"/>
      <c r="E67" s="2524"/>
      <c r="F67" s="2524"/>
      <c r="G67" s="2524"/>
      <c r="H67" s="2524"/>
      <c r="I67" s="2524"/>
      <c r="J67" s="2524"/>
      <c r="K67" s="2524"/>
      <c r="L67" s="2524"/>
      <c r="M67" s="2524"/>
      <c r="N67" s="2524"/>
      <c r="O67" s="2524"/>
      <c r="P67" s="2524"/>
      <c r="Q67" s="791"/>
      <c r="R67" s="791"/>
    </row>
    <row r="68" spans="2:18" ht="38.25" customHeight="1">
      <c r="B68" s="2524"/>
      <c r="C68" s="2524"/>
      <c r="D68" s="2524"/>
      <c r="E68" s="2524"/>
      <c r="F68" s="2524"/>
      <c r="G68" s="2524"/>
      <c r="H68" s="2524"/>
      <c r="I68" s="2524"/>
      <c r="J68" s="2524"/>
      <c r="K68" s="2524"/>
      <c r="L68" s="2524"/>
      <c r="M68" s="2524"/>
      <c r="N68" s="2524"/>
      <c r="O68" s="2524"/>
      <c r="P68" s="2524"/>
      <c r="Q68" s="2329"/>
      <c r="R68" s="2329"/>
    </row>
    <row r="70" spans="2:18" ht="22.5" customHeight="1">
      <c r="B70" s="2521" t="s">
        <v>1356</v>
      </c>
      <c r="C70" s="2521"/>
      <c r="D70" s="2521"/>
      <c r="E70" s="2521"/>
      <c r="F70" s="2521"/>
      <c r="G70" s="2521"/>
      <c r="H70" s="2521"/>
      <c r="I70" s="2521"/>
      <c r="J70" s="2521"/>
      <c r="K70" s="2521"/>
      <c r="L70" s="2521"/>
      <c r="M70" s="2521"/>
      <c r="N70" s="2521"/>
      <c r="O70" s="2521"/>
      <c r="P70" s="2521"/>
    </row>
    <row r="73" spans="2:18" ht="15.75">
      <c r="B73" s="1669"/>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28" zoomScaleNormal="100" workbookViewId="0">
      <selection activeCell="P44" sqref="P44"/>
    </sheetView>
  </sheetViews>
  <sheetFormatPr defaultColWidth="9.140625" defaultRowHeight="12.75"/>
  <cols>
    <col min="1" max="1" width="1.7109375" style="916" customWidth="1"/>
    <col min="2" max="2" width="25.140625" style="916" customWidth="1"/>
    <col min="3" max="3" width="1.7109375" style="916" customWidth="1"/>
    <col min="4" max="4" width="22.5703125" style="916" customWidth="1"/>
    <col min="5" max="5" width="1.7109375" style="916" customWidth="1"/>
    <col min="6" max="6" width="24.85546875" style="916" customWidth="1"/>
    <col min="7" max="7" width="1.7109375" style="916" customWidth="1"/>
    <col min="8" max="8" width="21.42578125" style="916" customWidth="1"/>
    <col min="9" max="9" width="1.7109375" style="916" customWidth="1"/>
    <col min="10" max="10" width="21" style="916" customWidth="1"/>
    <col min="11" max="11" width="1.7109375" style="916" customWidth="1"/>
    <col min="12" max="12" width="18.28515625" style="916" customWidth="1"/>
    <col min="13" max="13" width="1.7109375" style="916" customWidth="1"/>
    <col min="14" max="14" width="17" style="916" customWidth="1"/>
    <col min="15" max="15" width="1.7109375" style="916" customWidth="1"/>
    <col min="16" max="16" width="18.140625" style="916" customWidth="1"/>
    <col min="17" max="17" width="7.7109375" style="916" bestFit="1" customWidth="1"/>
    <col min="18" max="18" width="3" style="916" hidden="1" customWidth="1"/>
    <col min="19" max="19" width="9.140625" style="916"/>
    <col min="20" max="20" width="3" style="916" bestFit="1" customWidth="1"/>
    <col min="21" max="16384" width="9.140625" style="916"/>
  </cols>
  <sheetData>
    <row r="1" spans="1:18" ht="15">
      <c r="A1" s="1641"/>
    </row>
    <row r="2" spans="1:18" ht="15.75">
      <c r="A2" s="1642"/>
    </row>
    <row r="3" spans="1:18" ht="15.75">
      <c r="A3" s="1642"/>
    </row>
    <row r="4" spans="1:18" ht="15.75">
      <c r="B4" s="2522" t="s">
        <v>878</v>
      </c>
      <c r="C4" s="2522"/>
      <c r="D4" s="2522"/>
      <c r="E4" s="2522"/>
      <c r="F4" s="2522"/>
      <c r="G4" s="2522"/>
      <c r="H4" s="2522"/>
      <c r="I4" s="2522"/>
      <c r="J4" s="2522"/>
      <c r="K4" s="2522"/>
      <c r="L4" s="2522"/>
      <c r="M4" s="2522"/>
      <c r="N4" s="2522"/>
      <c r="O4" s="2522"/>
      <c r="P4" s="2522"/>
    </row>
    <row r="5" spans="1:18" ht="15.75">
      <c r="B5" s="2523" t="str">
        <f>+'SWEPCO WS A-1 - Plant'!A3</f>
        <v xml:space="preserve">Actual / Projected 2018 Rate Year Cost of Service Formula Rate </v>
      </c>
      <c r="C5" s="2523"/>
      <c r="D5" s="2523"/>
      <c r="E5" s="2523"/>
      <c r="F5" s="2523"/>
      <c r="G5" s="2523"/>
      <c r="H5" s="2523"/>
      <c r="I5" s="2523"/>
      <c r="J5" s="2523"/>
      <c r="K5" s="2523"/>
      <c r="L5" s="2523"/>
      <c r="M5" s="2523"/>
      <c r="N5" s="2523"/>
      <c r="O5" s="2523"/>
      <c r="P5" s="2523"/>
    </row>
    <row r="6" spans="1:18" ht="15.75">
      <c r="B6" s="2523" t="s">
        <v>1118</v>
      </c>
      <c r="C6" s="2523"/>
      <c r="D6" s="2523"/>
      <c r="E6" s="2523"/>
      <c r="F6" s="2523"/>
      <c r="G6" s="2523"/>
      <c r="H6" s="2523"/>
      <c r="I6" s="2523"/>
      <c r="J6" s="2523"/>
      <c r="K6" s="2523"/>
      <c r="L6" s="2523"/>
      <c r="M6" s="2523"/>
      <c r="N6" s="2523"/>
      <c r="O6" s="2523"/>
      <c r="P6" s="2523"/>
    </row>
    <row r="7" spans="1:18" ht="15.75">
      <c r="B7" s="2479" t="str">
        <f>+'SWEPCO TCOS'!F8</f>
        <v>SOUTHWESTERN ELECTRIC POWER COMPANY</v>
      </c>
      <c r="C7" s="2479"/>
      <c r="D7" s="2479"/>
      <c r="E7" s="2479"/>
      <c r="F7" s="2479"/>
      <c r="G7" s="2479"/>
      <c r="H7" s="2479"/>
      <c r="I7" s="2479"/>
      <c r="J7" s="2479"/>
      <c r="K7" s="2479"/>
      <c r="L7" s="2479"/>
      <c r="M7" s="2479"/>
      <c r="N7" s="2479"/>
      <c r="O7" s="2479"/>
      <c r="P7" s="2479"/>
      <c r="Q7" s="1696"/>
      <c r="R7" s="1696"/>
    </row>
    <row r="8" spans="1:18">
      <c r="B8" s="791"/>
      <c r="C8" s="791"/>
      <c r="D8" s="791"/>
      <c r="E8" s="791"/>
      <c r="F8" s="791"/>
      <c r="G8" s="791"/>
      <c r="H8" s="791"/>
      <c r="I8" s="791"/>
      <c r="J8" s="791"/>
      <c r="K8" s="791"/>
      <c r="L8" s="791"/>
      <c r="M8" s="791"/>
      <c r="N8" s="791"/>
      <c r="O8" s="791"/>
      <c r="P8" s="791"/>
    </row>
    <row r="9" spans="1:18">
      <c r="B9" s="791"/>
      <c r="C9" s="791"/>
      <c r="D9" s="791"/>
      <c r="E9" s="791"/>
      <c r="F9" s="791"/>
      <c r="G9" s="791"/>
      <c r="H9" s="791"/>
      <c r="I9" s="791"/>
      <c r="J9" s="791"/>
      <c r="K9" s="791"/>
      <c r="L9" s="791"/>
      <c r="M9" s="791"/>
      <c r="N9" s="791"/>
      <c r="O9" s="791"/>
      <c r="P9" s="791"/>
    </row>
    <row r="10" spans="1:18" ht="16.5" thickBot="1">
      <c r="B10" s="1643"/>
      <c r="C10" s="1644"/>
      <c r="D10" s="1644"/>
      <c r="E10" s="1644"/>
      <c r="F10" s="1644"/>
      <c r="G10" s="1644"/>
      <c r="H10" s="1644"/>
      <c r="I10" s="1644"/>
      <c r="J10" s="1644"/>
      <c r="K10" s="1644"/>
      <c r="O10" s="1644"/>
      <c r="P10" s="1644"/>
    </row>
    <row r="11" spans="1:18" ht="51.75">
      <c r="B11" s="1645" t="str">
        <f>"True up Revenue Requirement For Year "&amp;J11&amp;" Available May, "&amp;J12</f>
        <v>True up Revenue Requirement For Year 2018 Available May, 2019</v>
      </c>
      <c r="C11" s="1644"/>
      <c r="D11" s="1645" t="s">
        <v>1383</v>
      </c>
      <c r="E11" s="1646"/>
      <c r="F11" s="1647" t="s">
        <v>1098</v>
      </c>
      <c r="G11" s="926"/>
      <c r="H11" s="1648" t="s">
        <v>1099</v>
      </c>
      <c r="I11" s="1644"/>
      <c r="J11" s="1649">
        <f>+'SWEPCO TCOS'!N2</f>
        <v>2018</v>
      </c>
      <c r="K11" s="1644"/>
      <c r="O11" s="926"/>
      <c r="P11" s="926"/>
    </row>
    <row r="12" spans="1:18" ht="15.75">
      <c r="B12" s="1650" t="s">
        <v>256</v>
      </c>
      <c r="C12" s="1644"/>
      <c r="D12" s="1650"/>
      <c r="E12" s="1646"/>
      <c r="F12" s="1651"/>
      <c r="G12" s="926"/>
      <c r="H12" s="1652" t="s">
        <v>1100</v>
      </c>
      <c r="I12" s="1653"/>
      <c r="J12" s="1654">
        <f>J11+1</f>
        <v>2019</v>
      </c>
      <c r="O12" s="926"/>
      <c r="P12" s="926"/>
    </row>
    <row r="13" spans="1:18" ht="16.5" thickBot="1">
      <c r="B13" s="650">
        <v>73702506.121968627</v>
      </c>
      <c r="C13" s="651" t="s">
        <v>1101</v>
      </c>
      <c r="D13" s="650">
        <v>91620468.070000067</v>
      </c>
      <c r="E13" s="652" t="s">
        <v>1102</v>
      </c>
      <c r="F13" s="653">
        <f>IF(B13=0,0,D13-B13)</f>
        <v>17917961.94803144</v>
      </c>
      <c r="G13" s="1655"/>
      <c r="H13" s="1656" t="s">
        <v>1103</v>
      </c>
      <c r="I13" s="1657"/>
      <c r="J13" s="1658">
        <f>J12+1</f>
        <v>2020</v>
      </c>
      <c r="O13" s="926"/>
      <c r="P13" s="926"/>
    </row>
    <row r="14" spans="1:18" ht="15.75">
      <c r="B14" s="1657"/>
      <c r="C14" s="1659"/>
      <c r="D14" s="1657"/>
      <c r="E14" s="1657"/>
      <c r="F14" s="1657"/>
      <c r="G14" s="1657"/>
      <c r="H14" s="926"/>
      <c r="I14" s="926"/>
      <c r="O14" s="926"/>
      <c r="P14" s="926"/>
    </row>
    <row r="15" spans="1:18" ht="16.5" thickBot="1">
      <c r="B15" s="1660"/>
      <c r="C15" s="1661"/>
      <c r="D15" s="1660"/>
      <c r="E15" s="1660"/>
      <c r="F15" s="1660"/>
      <c r="G15" s="1660"/>
      <c r="H15" s="1660"/>
      <c r="I15" s="1660"/>
      <c r="J15" s="1660"/>
      <c r="K15" s="1660"/>
      <c r="L15" s="1660"/>
      <c r="M15" s="1660"/>
      <c r="N15" s="1662"/>
      <c r="O15" s="1662"/>
      <c r="P15" s="1662"/>
    </row>
    <row r="16" spans="1:18" ht="15.75">
      <c r="B16" s="1663"/>
      <c r="C16" s="1659"/>
      <c r="D16" s="1657"/>
      <c r="E16" s="1657"/>
      <c r="F16" s="1657"/>
      <c r="G16" s="1657"/>
      <c r="H16" s="1657"/>
      <c r="I16" s="1657"/>
      <c r="J16" s="1657"/>
      <c r="K16" s="1657"/>
      <c r="L16" s="1657"/>
      <c r="M16" s="1657"/>
      <c r="N16" s="926"/>
      <c r="O16" s="926"/>
      <c r="P16" s="926"/>
    </row>
    <row r="17" spans="2:18" ht="63">
      <c r="B17" s="1664" t="s">
        <v>1104</v>
      </c>
      <c r="C17" s="1659"/>
      <c r="D17" s="1665" t="s">
        <v>1105</v>
      </c>
      <c r="E17" s="1665"/>
      <c r="F17" s="1665" t="s">
        <v>1106</v>
      </c>
      <c r="G17" s="1665"/>
      <c r="H17" s="1665" t="s">
        <v>1107</v>
      </c>
      <c r="I17" s="1657"/>
      <c r="J17" s="1666" t="s">
        <v>1108</v>
      </c>
      <c r="K17" s="1657"/>
      <c r="L17" s="1665" t="s">
        <v>1358</v>
      </c>
      <c r="M17" s="1667"/>
      <c r="N17" s="1666" t="s">
        <v>1109</v>
      </c>
      <c r="O17" s="1668"/>
      <c r="P17" s="1665" t="s">
        <v>1111</v>
      </c>
    </row>
    <row r="18" spans="2:18" ht="15.75">
      <c r="B18" s="1669"/>
      <c r="C18" s="1659"/>
      <c r="D18" s="926"/>
      <c r="E18" s="926"/>
      <c r="F18" s="926"/>
      <c r="G18" s="926"/>
      <c r="H18" s="926"/>
      <c r="I18" s="2314"/>
      <c r="J18" s="2314"/>
      <c r="K18" s="2314"/>
      <c r="N18" s="926"/>
      <c r="O18" s="926"/>
      <c r="P18" s="926"/>
    </row>
    <row r="19" spans="2:18" ht="15.75">
      <c r="B19" s="1697" t="s">
        <v>1112</v>
      </c>
      <c r="C19" s="1659"/>
      <c r="D19" s="1659"/>
      <c r="E19" s="1659"/>
      <c r="F19" s="1659"/>
      <c r="G19" s="1659"/>
      <c r="H19" s="1659"/>
      <c r="I19" s="1659"/>
      <c r="J19" s="1659"/>
      <c r="K19" s="1659"/>
      <c r="L19" s="926"/>
      <c r="M19" s="926"/>
      <c r="N19" s="1667"/>
      <c r="O19" s="1659"/>
      <c r="P19" s="1659"/>
    </row>
    <row r="20" spans="2:18" ht="15.75">
      <c r="B20" s="1672" t="s">
        <v>128</v>
      </c>
      <c r="C20" s="1659"/>
      <c r="D20" s="1659"/>
      <c r="E20" s="1659"/>
      <c r="F20" s="1659"/>
      <c r="G20" s="1659"/>
      <c r="H20" s="1659"/>
      <c r="I20" s="1659"/>
      <c r="J20" s="1659"/>
      <c r="K20" s="1659"/>
      <c r="L20" s="926"/>
      <c r="M20" s="926"/>
      <c r="N20" s="1667"/>
      <c r="O20" s="1659"/>
      <c r="P20" s="1659"/>
    </row>
    <row r="21" spans="2:18" ht="15.75">
      <c r="B21" s="1673">
        <f t="shared" ref="B21:B32" si="0">DATE($J$11,R21,1)</f>
        <v>43101</v>
      </c>
      <c r="C21" s="1644"/>
      <c r="D21" s="2315">
        <f>F13/12</f>
        <v>1493163.4956692867</v>
      </c>
      <c r="E21" s="2316"/>
      <c r="F21" s="2315">
        <v>0</v>
      </c>
      <c r="G21" s="2315"/>
      <c r="H21" s="2315">
        <v>0</v>
      </c>
      <c r="I21" s="2315"/>
      <c r="J21" s="2315">
        <f>F21+H21</f>
        <v>0</v>
      </c>
      <c r="K21" s="2316"/>
      <c r="L21" s="641">
        <f>+'SWEPCO WS Q Interest Rate'!E13</f>
        <v>3.5999999999999999E-3</v>
      </c>
      <c r="M21" s="642"/>
      <c r="N21" s="2315">
        <f t="shared" ref="N21:N32" si="1">J21*L21</f>
        <v>0</v>
      </c>
      <c r="O21" s="2315"/>
      <c r="P21" s="2315">
        <f>D21+N21</f>
        <v>1493163.4956692867</v>
      </c>
      <c r="R21" s="916">
        <v>1</v>
      </c>
    </row>
    <row r="22" spans="2:18" ht="15.75">
      <c r="B22" s="1673">
        <f t="shared" si="0"/>
        <v>43132</v>
      </c>
      <c r="C22" s="1644"/>
      <c r="D22" s="2315">
        <f>+D21</f>
        <v>1493163.4956692867</v>
      </c>
      <c r="E22" s="2316"/>
      <c r="F22" s="2315">
        <f>D21</f>
        <v>1493163.4956692867</v>
      </c>
      <c r="G22" s="2315"/>
      <c r="H22" s="2315">
        <v>0</v>
      </c>
      <c r="I22" s="2315"/>
      <c r="J22" s="2315">
        <f t="shared" ref="J22:J31" si="2">F22+H22</f>
        <v>1493163.4956692867</v>
      </c>
      <c r="K22" s="2316"/>
      <c r="L22" s="641">
        <f>+'SWEPCO WS Q Interest Rate'!E14</f>
        <v>3.3E-3</v>
      </c>
      <c r="M22" s="642"/>
      <c r="N22" s="2315">
        <f t="shared" si="1"/>
        <v>4927.439535708646</v>
      </c>
      <c r="O22" s="2315"/>
      <c r="P22" s="2315">
        <f>SUM($D$21:D22)+SUM($N$21:N22)</f>
        <v>2991254.430874282</v>
      </c>
      <c r="R22" s="916">
        <v>2</v>
      </c>
    </row>
    <row r="23" spans="2:18" ht="15.75">
      <c r="B23" s="1673">
        <f t="shared" si="0"/>
        <v>43160</v>
      </c>
      <c r="C23" s="1644"/>
      <c r="D23" s="2315">
        <f>+D22</f>
        <v>1493163.4956692867</v>
      </c>
      <c r="E23" s="2316"/>
      <c r="F23" s="2315">
        <f>D22+F22</f>
        <v>2986326.9913385734</v>
      </c>
      <c r="G23" s="2315"/>
      <c r="H23" s="2315">
        <v>0</v>
      </c>
      <c r="I23" s="2315"/>
      <c r="J23" s="2315">
        <f t="shared" si="2"/>
        <v>2986326.9913385734</v>
      </c>
      <c r="K23" s="2316"/>
      <c r="L23" s="641">
        <f>+'SWEPCO WS Q Interest Rate'!E15</f>
        <v>3.5999999999999999E-3</v>
      </c>
      <c r="M23" s="642"/>
      <c r="N23" s="2315">
        <f t="shared" si="1"/>
        <v>10750.777168818864</v>
      </c>
      <c r="O23" s="2315"/>
      <c r="P23" s="2315">
        <f>SUM($D$21:D23)+SUM($N$21:N23)</f>
        <v>4495168.7037123879</v>
      </c>
      <c r="R23" s="916">
        <v>3</v>
      </c>
    </row>
    <row r="24" spans="2:18" ht="15.75">
      <c r="B24" s="1673">
        <f t="shared" si="0"/>
        <v>43191</v>
      </c>
      <c r="C24" s="1644"/>
      <c r="D24" s="2315">
        <f>+D23</f>
        <v>1493163.4956692867</v>
      </c>
      <c r="E24" s="2316"/>
      <c r="F24" s="2315">
        <f t="shared" ref="F24:F30" si="3">D23+F23</f>
        <v>4479490.4870078601</v>
      </c>
      <c r="G24" s="2315"/>
      <c r="H24" s="2315">
        <f>SUM($N$21:$N$23)</f>
        <v>15678.216704527509</v>
      </c>
      <c r="I24" s="2315"/>
      <c r="J24" s="2315">
        <f t="shared" si="2"/>
        <v>4495168.7037123879</v>
      </c>
      <c r="K24" s="2316"/>
      <c r="L24" s="641">
        <f>+'SWEPCO WS Q Interest Rate'!E16</f>
        <v>3.7000000000000002E-3</v>
      </c>
      <c r="M24" s="642"/>
      <c r="N24" s="2315">
        <f t="shared" si="1"/>
        <v>16632.124203735835</v>
      </c>
      <c r="O24" s="2315"/>
      <c r="P24" s="2315">
        <f>SUM($D$21:D24)+SUM($N$21:N24)</f>
        <v>6004964.3235854097</v>
      </c>
      <c r="R24" s="916">
        <v>4</v>
      </c>
    </row>
    <row r="25" spans="2:18" ht="15.75">
      <c r="B25" s="1673">
        <f t="shared" si="0"/>
        <v>43221</v>
      </c>
      <c r="C25" s="1644"/>
      <c r="D25" s="2315">
        <f t="shared" ref="D25:D30" si="4">+D24</f>
        <v>1493163.4956692867</v>
      </c>
      <c r="E25" s="2316"/>
      <c r="F25" s="2315">
        <f t="shared" si="3"/>
        <v>5972653.9826771468</v>
      </c>
      <c r="G25" s="2315"/>
      <c r="H25" s="2315">
        <f t="shared" ref="H25:H26" si="5">SUM($N$21:$N$23)</f>
        <v>15678.216704527509</v>
      </c>
      <c r="I25" s="2315"/>
      <c r="J25" s="2315">
        <f t="shared" si="2"/>
        <v>5988332.1993816746</v>
      </c>
      <c r="K25" s="2316"/>
      <c r="L25" s="641">
        <f>+'SWEPCO WS Q Interest Rate'!E17</f>
        <v>3.8E-3</v>
      </c>
      <c r="M25" s="642"/>
      <c r="N25" s="2315">
        <f t="shared" si="1"/>
        <v>22755.662357650363</v>
      </c>
      <c r="O25" s="2315"/>
      <c r="P25" s="2315">
        <f>SUM($D$21:D25)+SUM($N$21:N25)</f>
        <v>7520883.4816123471</v>
      </c>
      <c r="R25" s="916">
        <v>5</v>
      </c>
    </row>
    <row r="26" spans="2:18" ht="15.75">
      <c r="B26" s="1673">
        <f t="shared" si="0"/>
        <v>43252</v>
      </c>
      <c r="C26" s="1644"/>
      <c r="D26" s="2315">
        <f t="shared" si="4"/>
        <v>1493163.4956692867</v>
      </c>
      <c r="E26" s="2316"/>
      <c r="F26" s="2315">
        <f t="shared" si="3"/>
        <v>7465817.4783464335</v>
      </c>
      <c r="G26" s="2315"/>
      <c r="H26" s="2315">
        <f t="shared" si="5"/>
        <v>15678.216704527509</v>
      </c>
      <c r="I26" s="2315"/>
      <c r="J26" s="2315">
        <f t="shared" si="2"/>
        <v>7481495.6950509613</v>
      </c>
      <c r="K26" s="2316"/>
      <c r="L26" s="641">
        <f>+'SWEPCO WS Q Interest Rate'!E18</f>
        <v>3.7000000000000002E-3</v>
      </c>
      <c r="M26" s="642"/>
      <c r="N26" s="2315">
        <f t="shared" si="1"/>
        <v>27681.534071688558</v>
      </c>
      <c r="O26" s="2315"/>
      <c r="P26" s="2315">
        <f>SUM($D$21:D26)+SUM($N$21:N26)</f>
        <v>9041728.5113533232</v>
      </c>
      <c r="R26" s="916">
        <v>6</v>
      </c>
    </row>
    <row r="27" spans="2:18" ht="15.75">
      <c r="B27" s="1673">
        <f t="shared" si="0"/>
        <v>43282</v>
      </c>
      <c r="C27" s="1644"/>
      <c r="D27" s="2315">
        <f t="shared" si="4"/>
        <v>1493163.4956692867</v>
      </c>
      <c r="E27" s="2316"/>
      <c r="F27" s="2315">
        <f t="shared" si="3"/>
        <v>8958980.9740157202</v>
      </c>
      <c r="G27" s="2315"/>
      <c r="H27" s="2315">
        <f>$H$26+SUM($N$24:$N$26)</f>
        <v>82747.537337602262</v>
      </c>
      <c r="I27" s="2315"/>
      <c r="J27" s="2315">
        <f t="shared" si="2"/>
        <v>9041728.5113533232</v>
      </c>
      <c r="K27" s="2316"/>
      <c r="L27" s="641">
        <f>+'SWEPCO WS Q Interest Rate'!E19</f>
        <v>4.0000000000000001E-3</v>
      </c>
      <c r="M27" s="642"/>
      <c r="N27" s="2315">
        <f t="shared" si="1"/>
        <v>36166.914045413294</v>
      </c>
      <c r="O27" s="2315"/>
      <c r="P27" s="2315">
        <f>SUM($D$21:D27)+SUM($N$21:N27)</f>
        <v>10571058.921068022</v>
      </c>
      <c r="R27" s="916">
        <v>7</v>
      </c>
    </row>
    <row r="28" spans="2:18" ht="15.75">
      <c r="B28" s="1673">
        <f t="shared" si="0"/>
        <v>43313</v>
      </c>
      <c r="C28" s="1644"/>
      <c r="D28" s="2315">
        <f t="shared" si="4"/>
        <v>1493163.4956692867</v>
      </c>
      <c r="E28" s="2316"/>
      <c r="F28" s="2315">
        <f t="shared" si="3"/>
        <v>10452144.469685007</v>
      </c>
      <c r="G28" s="2315"/>
      <c r="H28" s="2315">
        <f>$H$26+SUM($N$24:$N$26)</f>
        <v>82747.537337602262</v>
      </c>
      <c r="I28" s="2315"/>
      <c r="J28" s="2315">
        <f t="shared" si="2"/>
        <v>10534892.00702261</v>
      </c>
      <c r="K28" s="2316"/>
      <c r="L28" s="641">
        <f>+'SWEPCO WS Q Interest Rate'!E20</f>
        <v>4.0000000000000001E-3</v>
      </c>
      <c r="M28" s="642"/>
      <c r="N28" s="2315">
        <f t="shared" si="1"/>
        <v>42139.568028090442</v>
      </c>
      <c r="O28" s="2315"/>
      <c r="P28" s="2315">
        <f>SUM($D$21:D28)+SUM($N$21:N28)</f>
        <v>12106361.984765399</v>
      </c>
      <c r="R28" s="916">
        <v>8</v>
      </c>
    </row>
    <row r="29" spans="2:18" ht="15.75">
      <c r="B29" s="1673">
        <f t="shared" si="0"/>
        <v>43344</v>
      </c>
      <c r="C29" s="1644"/>
      <c r="D29" s="2315">
        <f t="shared" si="4"/>
        <v>1493163.4956692867</v>
      </c>
      <c r="E29" s="2316"/>
      <c r="F29" s="2315">
        <f t="shared" si="3"/>
        <v>11945307.965354294</v>
      </c>
      <c r="G29" s="2315"/>
      <c r="H29" s="2315">
        <f>$H$26+SUM($N$24:$N$26)</f>
        <v>82747.537337602262</v>
      </c>
      <c r="I29" s="2315"/>
      <c r="J29" s="2315">
        <f t="shared" si="2"/>
        <v>12028055.502691897</v>
      </c>
      <c r="K29" s="2316"/>
      <c r="L29" s="641">
        <f>+'SWEPCO WS Q Interest Rate'!E21</f>
        <v>3.8999999999999998E-3</v>
      </c>
      <c r="M29" s="642"/>
      <c r="N29" s="2315">
        <f t="shared" si="1"/>
        <v>46909.416460498396</v>
      </c>
      <c r="O29" s="2315"/>
      <c r="P29" s="2315">
        <f>SUM($D$21:D29)+SUM($N$21:N29)</f>
        <v>13646434.896895185</v>
      </c>
      <c r="R29" s="916">
        <v>9</v>
      </c>
    </row>
    <row r="30" spans="2:18" ht="15.75">
      <c r="B30" s="1673">
        <f t="shared" si="0"/>
        <v>43374</v>
      </c>
      <c r="C30" s="1644"/>
      <c r="D30" s="2315">
        <f t="shared" si="4"/>
        <v>1493163.4956692867</v>
      </c>
      <c r="E30" s="2316"/>
      <c r="F30" s="2315">
        <f t="shared" si="3"/>
        <v>13438471.46102358</v>
      </c>
      <c r="G30" s="2315"/>
      <c r="H30" s="2315">
        <f>$H$29+SUM($N$27:$N$29)</f>
        <v>207963.43587160439</v>
      </c>
      <c r="I30" s="2315"/>
      <c r="J30" s="2315">
        <f t="shared" si="2"/>
        <v>13646434.896895185</v>
      </c>
      <c r="K30" s="2316"/>
      <c r="L30" s="641">
        <f>+'SWEPCO WS Q Interest Rate'!E22</f>
        <v>4.1999999999999997E-3</v>
      </c>
      <c r="M30" s="642"/>
      <c r="N30" s="2315">
        <f t="shared" si="1"/>
        <v>57315.026566959772</v>
      </c>
      <c r="O30" s="2315"/>
      <c r="P30" s="2315">
        <f>SUM($D$21:D30)+SUM($N$21:N30)</f>
        <v>15196913.419131432</v>
      </c>
      <c r="R30" s="916">
        <v>10</v>
      </c>
    </row>
    <row r="31" spans="2:18" ht="15.75">
      <c r="B31" s="1673">
        <f t="shared" si="0"/>
        <v>43405</v>
      </c>
      <c r="C31" s="1644"/>
      <c r="D31" s="2315">
        <f>+D30</f>
        <v>1493163.4956692867</v>
      </c>
      <c r="E31" s="2316"/>
      <c r="F31" s="2315">
        <f>D30+F30</f>
        <v>14931634.956692867</v>
      </c>
      <c r="G31" s="2315"/>
      <c r="H31" s="2315">
        <f>$H$29+SUM($N$27:$N$29)</f>
        <v>207963.43587160439</v>
      </c>
      <c r="I31" s="2315"/>
      <c r="J31" s="2315">
        <f t="shared" si="2"/>
        <v>15139598.392564472</v>
      </c>
      <c r="K31" s="2316"/>
      <c r="L31" s="641">
        <f>+'SWEPCO WS Q Interest Rate'!E23</f>
        <v>4.1000000000000003E-3</v>
      </c>
      <c r="M31" s="642"/>
      <c r="N31" s="2315">
        <f t="shared" si="1"/>
        <v>62072.35340951434</v>
      </c>
      <c r="O31" s="2315"/>
      <c r="P31" s="2315">
        <f>SUM($D$21:D31)+SUM($N$21:N31)</f>
        <v>16752149.268210232</v>
      </c>
      <c r="R31" s="916">
        <v>11</v>
      </c>
    </row>
    <row r="32" spans="2:18" ht="15.75">
      <c r="B32" s="1673">
        <f t="shared" si="0"/>
        <v>43435</v>
      </c>
      <c r="C32" s="1644"/>
      <c r="D32" s="2315">
        <f>+D31</f>
        <v>1493163.4956692867</v>
      </c>
      <c r="E32" s="2316"/>
      <c r="F32" s="2315">
        <f>D31+F31</f>
        <v>16424798.452362154</v>
      </c>
      <c r="G32" s="2315"/>
      <c r="H32" s="2315">
        <f>$H$29+SUM($N$27:$N$29)</f>
        <v>207963.43587160439</v>
      </c>
      <c r="I32" s="2315"/>
      <c r="J32" s="2315">
        <f>F32+H32</f>
        <v>16632761.888233759</v>
      </c>
      <c r="K32" s="2316"/>
      <c r="L32" s="641">
        <f>+'SWEPCO WS Q Interest Rate'!E24</f>
        <v>4.1999999999999997E-3</v>
      </c>
      <c r="M32" s="642"/>
      <c r="N32" s="2315">
        <f t="shared" si="1"/>
        <v>69857.599930581782</v>
      </c>
      <c r="O32" s="2315"/>
      <c r="P32" s="2315">
        <f>SUM($D$21:D32)+SUM($N$21:N32)</f>
        <v>18315170.3638101</v>
      </c>
      <c r="R32" s="916">
        <v>12</v>
      </c>
    </row>
    <row r="33" spans="2:20" ht="15.75">
      <c r="B33" s="1644"/>
      <c r="C33" s="1644"/>
      <c r="D33" s="2315"/>
      <c r="E33" s="2316"/>
      <c r="F33" s="2315"/>
      <c r="G33" s="2315"/>
      <c r="H33" s="2315"/>
      <c r="I33" s="2315"/>
      <c r="J33" s="2315"/>
      <c r="K33" s="2316"/>
      <c r="L33" s="1659"/>
      <c r="M33" s="1644"/>
      <c r="N33" s="2317"/>
      <c r="O33" s="2315"/>
      <c r="P33" s="2318"/>
    </row>
    <row r="34" spans="2:20" ht="15.75">
      <c r="B34" s="1672" t="s">
        <v>1113</v>
      </c>
      <c r="C34" s="1644"/>
      <c r="D34" s="2315"/>
      <c r="E34" s="2316"/>
      <c r="F34" s="2315"/>
      <c r="G34" s="2315"/>
      <c r="H34" s="2315"/>
      <c r="I34" s="2315"/>
      <c r="J34" s="2315"/>
      <c r="K34" s="2316"/>
      <c r="L34" s="1659"/>
      <c r="M34" s="1644"/>
      <c r="N34" s="2315"/>
      <c r="O34" s="2315"/>
      <c r="P34" s="2319"/>
    </row>
    <row r="35" spans="2:20" ht="15.75">
      <c r="B35" s="1673">
        <f t="shared" ref="B35:B40" si="6">DATE($J$12,R35,1)</f>
        <v>43466</v>
      </c>
      <c r="C35" s="1644"/>
      <c r="D35" s="2315">
        <v>0</v>
      </c>
      <c r="E35" s="2316"/>
      <c r="F35" s="2315">
        <f>D32+F32</f>
        <v>17917961.94803144</v>
      </c>
      <c r="G35" s="2315"/>
      <c r="H35" s="2315">
        <f>$H$32+SUM($N$30:$N$32)</f>
        <v>397208.41577866033</v>
      </c>
      <c r="I35" s="2315"/>
      <c r="J35" s="2315">
        <f>F35+H35</f>
        <v>18315170.3638101</v>
      </c>
      <c r="K35" s="2316"/>
      <c r="L35" s="641">
        <f>+'SWEPCO WS Q Interest Rate'!E25</f>
        <v>4.4000000000000003E-3</v>
      </c>
      <c r="M35" s="642"/>
      <c r="N35" s="2315">
        <f t="shared" ref="N35:N40" si="7">J35*L35</f>
        <v>80586.749600764437</v>
      </c>
      <c r="O35" s="2315"/>
      <c r="P35" s="2315">
        <f>SUM($D$21:D35)+SUM($N$21:N35)</f>
        <v>18395757.113410864</v>
      </c>
      <c r="R35" s="916">
        <v>1</v>
      </c>
    </row>
    <row r="36" spans="2:20" ht="15.75">
      <c r="B36" s="1673">
        <f t="shared" si="6"/>
        <v>43497</v>
      </c>
      <c r="C36" s="1644"/>
      <c r="D36" s="2315">
        <v>0</v>
      </c>
      <c r="E36" s="2316"/>
      <c r="F36" s="2315">
        <f>D35+F35</f>
        <v>17917961.94803144</v>
      </c>
      <c r="G36" s="2315"/>
      <c r="H36" s="2315">
        <f>$H$32+SUM($N$30:$N$32)</f>
        <v>397208.41577866033</v>
      </c>
      <c r="I36" s="2315"/>
      <c r="J36" s="2315">
        <f>F36+H36</f>
        <v>18315170.3638101</v>
      </c>
      <c r="K36" s="2316"/>
      <c r="L36" s="641">
        <f>+'SWEPCO WS Q Interest Rate'!E26</f>
        <v>4.0000000000000001E-3</v>
      </c>
      <c r="M36" s="642"/>
      <c r="N36" s="2315">
        <f t="shared" si="7"/>
        <v>73260.681455240396</v>
      </c>
      <c r="O36" s="2315"/>
      <c r="P36" s="2315">
        <f>SUM($D$21:D36)+SUM($N$21:N36)</f>
        <v>18469017.794866107</v>
      </c>
      <c r="R36" s="916">
        <v>2</v>
      </c>
    </row>
    <row r="37" spans="2:20" ht="15.75">
      <c r="B37" s="1673">
        <f t="shared" si="6"/>
        <v>43525</v>
      </c>
      <c r="C37" s="1644"/>
      <c r="D37" s="2315">
        <v>0</v>
      </c>
      <c r="E37" s="2316"/>
      <c r="F37" s="2315">
        <f t="shared" ref="F37:F40" si="8">D36+F36</f>
        <v>17917961.94803144</v>
      </c>
      <c r="G37" s="2315"/>
      <c r="H37" s="2315">
        <f>$H$32+SUM($N$30:$N$32)</f>
        <v>397208.41577866033</v>
      </c>
      <c r="I37" s="2315"/>
      <c r="J37" s="2315">
        <f t="shared" ref="J37:J40" si="9">F37+H37</f>
        <v>18315170.3638101</v>
      </c>
      <c r="K37" s="2316"/>
      <c r="L37" s="641">
        <f>+'SWEPCO WS Q Interest Rate'!E27</f>
        <v>4.4000000000000003E-3</v>
      </c>
      <c r="M37" s="642"/>
      <c r="N37" s="2315">
        <f t="shared" si="7"/>
        <v>80586.749600764437</v>
      </c>
      <c r="O37" s="2315"/>
      <c r="P37" s="2315">
        <f>SUM($D$21:D37)+SUM($N$21:N37)</f>
        <v>18549604.544466872</v>
      </c>
      <c r="R37" s="916">
        <v>3</v>
      </c>
    </row>
    <row r="38" spans="2:20" ht="15.75">
      <c r="B38" s="1673">
        <f t="shared" si="6"/>
        <v>43556</v>
      </c>
      <c r="C38" s="1644"/>
      <c r="D38" s="2315">
        <v>0</v>
      </c>
      <c r="E38" s="2316"/>
      <c r="F38" s="2315">
        <f t="shared" si="8"/>
        <v>17917961.94803144</v>
      </c>
      <c r="G38" s="2315"/>
      <c r="H38" s="2315">
        <f>$H$37+SUM($N$35:$N$37)</f>
        <v>631642.59643542953</v>
      </c>
      <c r="I38" s="2315"/>
      <c r="J38" s="2315">
        <f>F38+H38</f>
        <v>18549604.544466868</v>
      </c>
      <c r="K38" s="2316"/>
      <c r="L38" s="641">
        <f>+'SWEPCO WS Q Interest Rate'!E28</f>
        <v>4.4999999999999997E-3</v>
      </c>
      <c r="M38" s="642"/>
      <c r="N38" s="2315">
        <f t="shared" si="7"/>
        <v>83473.220450100896</v>
      </c>
      <c r="O38" s="2315"/>
      <c r="P38" s="2315">
        <f>SUM($D$21:D38)+SUM($N$21:N38)</f>
        <v>18633077.764916971</v>
      </c>
      <c r="R38" s="916">
        <v>4</v>
      </c>
    </row>
    <row r="39" spans="2:20" ht="15.75">
      <c r="B39" s="1673">
        <f t="shared" si="6"/>
        <v>43586</v>
      </c>
      <c r="C39" s="1644"/>
      <c r="D39" s="2315">
        <v>0</v>
      </c>
      <c r="E39" s="2316"/>
      <c r="F39" s="2315">
        <f t="shared" si="8"/>
        <v>17917961.94803144</v>
      </c>
      <c r="G39" s="2315"/>
      <c r="H39" s="2315">
        <f>$H$37+SUM($N$35:$N$37)</f>
        <v>631642.59643542953</v>
      </c>
      <c r="I39" s="2315"/>
      <c r="J39" s="2315">
        <f t="shared" si="9"/>
        <v>18549604.544466868</v>
      </c>
      <c r="K39" s="2316"/>
      <c r="L39" s="641">
        <f>+'SWEPCO WS Q Interest Rate'!E29</f>
        <v>4.5999999999999999E-3</v>
      </c>
      <c r="M39" s="642"/>
      <c r="N39" s="2315">
        <f t="shared" si="7"/>
        <v>85328.180904547597</v>
      </c>
      <c r="O39" s="2315"/>
      <c r="P39" s="2315">
        <f>SUM($D$21:D39)+SUM($N$21:N39)</f>
        <v>18718405.94582152</v>
      </c>
      <c r="R39" s="916">
        <v>5</v>
      </c>
    </row>
    <row r="40" spans="2:20" ht="16.5" thickBot="1">
      <c r="B40" s="1683">
        <f t="shared" si="6"/>
        <v>43617</v>
      </c>
      <c r="C40" s="1684"/>
      <c r="D40" s="2323">
        <v>0</v>
      </c>
      <c r="E40" s="2330"/>
      <c r="F40" s="2323">
        <f t="shared" si="8"/>
        <v>17917961.94803144</v>
      </c>
      <c r="G40" s="2323"/>
      <c r="H40" s="2323">
        <f>$H$37+SUM($N$35:$N$37)</f>
        <v>631642.59643542953</v>
      </c>
      <c r="I40" s="2323"/>
      <c r="J40" s="2323">
        <f t="shared" si="9"/>
        <v>18549604.544466868</v>
      </c>
      <c r="K40" s="2330"/>
      <c r="L40" s="645">
        <f>+'SWEPCO WS Q Interest Rate'!E30</f>
        <v>4.4999999999999997E-3</v>
      </c>
      <c r="M40" s="646"/>
      <c r="N40" s="2323">
        <f t="shared" si="7"/>
        <v>83473.220450100896</v>
      </c>
      <c r="O40" s="2323"/>
      <c r="P40" s="2323">
        <f>SUM($D$21:D40)+SUM($N$21:N40)</f>
        <v>18801879.166271619</v>
      </c>
      <c r="R40" s="916">
        <v>6</v>
      </c>
    </row>
    <row r="41" spans="2:20" ht="15.75">
      <c r="B41" s="1644"/>
      <c r="C41" s="1644"/>
      <c r="D41" s="1657"/>
      <c r="E41" s="1657"/>
      <c r="F41" s="1657"/>
      <c r="G41" s="1657"/>
      <c r="H41" s="1657"/>
      <c r="I41" s="1657"/>
      <c r="J41" s="1657"/>
      <c r="K41" s="1657"/>
      <c r="L41" s="1644"/>
      <c r="M41" s="1644"/>
      <c r="N41" s="2315"/>
      <c r="O41" s="2315"/>
      <c r="P41" s="2315"/>
    </row>
    <row r="42" spans="2:20" ht="15">
      <c r="B42" s="926"/>
      <c r="C42" s="926"/>
      <c r="D42" s="926"/>
      <c r="E42" s="926"/>
      <c r="F42" s="926"/>
      <c r="G42" s="926"/>
      <c r="H42" s="926"/>
      <c r="I42" s="926"/>
      <c r="J42" s="926"/>
      <c r="K42" s="926"/>
      <c r="L42" s="926"/>
      <c r="M42" s="926"/>
      <c r="N42" s="2319"/>
      <c r="O42" s="2319"/>
      <c r="P42" s="2319"/>
    </row>
    <row r="43" spans="2:20" ht="15.75">
      <c r="B43" s="1685" t="s">
        <v>1115</v>
      </c>
      <c r="C43" s="1686"/>
      <c r="D43" s="1686"/>
      <c r="E43" s="1686"/>
      <c r="F43" s="1686"/>
      <c r="G43" s="1686"/>
      <c r="H43" s="1686"/>
      <c r="I43" s="1686"/>
      <c r="J43" s="1686"/>
      <c r="K43" s="1686"/>
      <c r="L43" s="1686"/>
      <c r="M43" s="1686"/>
      <c r="N43" s="1698"/>
      <c r="O43" s="2324"/>
      <c r="P43" s="2325">
        <f>P40</f>
        <v>18801879.166271619</v>
      </c>
    </row>
    <row r="44" spans="2:20" ht="15.75">
      <c r="B44" s="1688" t="s">
        <v>1116</v>
      </c>
      <c r="C44" s="1689"/>
      <c r="D44" s="1689"/>
      <c r="E44" s="1689"/>
      <c r="F44" s="1689"/>
      <c r="G44" s="1689"/>
      <c r="H44" s="1689"/>
      <c r="I44" s="1689"/>
      <c r="J44" s="1689"/>
      <c r="K44" s="1689"/>
      <c r="L44" s="1689"/>
      <c r="M44" s="1689"/>
      <c r="N44" s="1699"/>
      <c r="O44" s="2326"/>
      <c r="P44" s="2317">
        <f>+F13</f>
        <v>17917961.94803144</v>
      </c>
    </row>
    <row r="45" spans="2:20" ht="15.75">
      <c r="B45" s="1691" t="s">
        <v>1117</v>
      </c>
      <c r="C45" s="1692"/>
      <c r="D45" s="1692"/>
      <c r="E45" s="1692"/>
      <c r="F45" s="1692"/>
      <c r="G45" s="1692"/>
      <c r="H45" s="1692"/>
      <c r="I45" s="1692"/>
      <c r="J45" s="1692"/>
      <c r="K45" s="1692"/>
      <c r="L45" s="1692"/>
      <c r="M45" s="1692"/>
      <c r="N45" s="1700"/>
      <c r="O45" s="2327"/>
      <c r="P45" s="2328">
        <f>P43-P44</f>
        <v>883917.21824017912</v>
      </c>
    </row>
    <row r="46" spans="2:20">
      <c r="B46" s="791"/>
      <c r="C46" s="791"/>
      <c r="D46" s="791"/>
      <c r="E46" s="791"/>
      <c r="F46" s="791"/>
      <c r="G46" s="791"/>
      <c r="H46" s="791"/>
      <c r="I46" s="791"/>
      <c r="J46" s="791"/>
      <c r="K46" s="791"/>
      <c r="L46" s="791"/>
      <c r="M46" s="791"/>
      <c r="N46" s="791"/>
      <c r="O46" s="791"/>
      <c r="P46" s="791"/>
    </row>
    <row r="47" spans="2:20" ht="15.75">
      <c r="B47" s="2525" t="s">
        <v>1350</v>
      </c>
      <c r="C47" s="2525"/>
      <c r="D47" s="2525"/>
      <c r="E47" s="2525"/>
      <c r="F47" s="2525"/>
      <c r="G47" s="2525"/>
      <c r="H47" s="2525"/>
      <c r="I47" s="2525"/>
      <c r="J47" s="2525"/>
      <c r="K47" s="2525"/>
      <c r="L47" s="2525"/>
      <c r="M47" s="2525"/>
      <c r="N47" s="2525"/>
      <c r="O47" s="1694"/>
      <c r="P47" s="1694"/>
      <c r="T47" s="2321"/>
    </row>
    <row r="48" spans="2:20" ht="17.25" customHeight="1">
      <c r="B48" s="2525"/>
      <c r="C48" s="2525"/>
      <c r="D48" s="2525"/>
      <c r="E48" s="2525"/>
      <c r="F48" s="2525"/>
      <c r="G48" s="2525"/>
      <c r="H48" s="2525"/>
      <c r="I48" s="2525"/>
      <c r="J48" s="2525"/>
      <c r="K48" s="2525"/>
      <c r="L48" s="2525"/>
      <c r="M48" s="2525"/>
      <c r="N48" s="2525"/>
      <c r="O48" s="791"/>
      <c r="P48" s="791"/>
    </row>
    <row r="50" spans="2:14">
      <c r="B50" s="2521" t="s">
        <v>1352</v>
      </c>
      <c r="C50" s="2521"/>
      <c r="D50" s="2521"/>
      <c r="E50" s="2521"/>
      <c r="F50" s="2521"/>
      <c r="G50" s="2521"/>
      <c r="H50" s="2521"/>
      <c r="I50" s="2521"/>
      <c r="J50" s="2521"/>
      <c r="K50" s="2521"/>
      <c r="L50" s="2521"/>
      <c r="M50" s="2521"/>
      <c r="N50" s="2521"/>
    </row>
    <row r="51" spans="2:14" ht="21.75" customHeight="1">
      <c r="B51" s="2521"/>
      <c r="C51" s="2521"/>
      <c r="D51" s="2521"/>
      <c r="E51" s="2521"/>
      <c r="F51" s="2521"/>
      <c r="G51" s="2521"/>
      <c r="H51" s="2521"/>
      <c r="I51" s="2521"/>
      <c r="J51" s="2521"/>
      <c r="K51" s="2521"/>
      <c r="L51" s="2521"/>
      <c r="M51" s="2521"/>
      <c r="N51" s="2521"/>
    </row>
    <row r="53" spans="2:14" ht="15.75">
      <c r="B53" s="166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sqref="A1:XFD1048576"/>
    </sheetView>
  </sheetViews>
  <sheetFormatPr defaultColWidth="9.140625" defaultRowHeight="12.75"/>
  <cols>
    <col min="1" max="1" width="1.7109375" style="916" customWidth="1"/>
    <col min="2" max="2" width="25.140625" style="916" customWidth="1"/>
    <col min="3" max="3" width="1.7109375" style="916" customWidth="1"/>
    <col min="4" max="4" width="22.5703125" style="916" customWidth="1"/>
    <col min="5" max="5" width="1.7109375" style="916" customWidth="1"/>
    <col min="6" max="6" width="24.85546875" style="916" customWidth="1"/>
    <col min="7" max="7" width="1.7109375" style="916" customWidth="1"/>
    <col min="8" max="8" width="21.42578125" style="916" customWidth="1"/>
    <col min="9" max="9" width="1.7109375" style="916" customWidth="1"/>
    <col min="10" max="10" width="21" style="916" customWidth="1"/>
    <col min="11" max="11" width="1.7109375" style="916" customWidth="1"/>
    <col min="12" max="12" width="18.28515625" style="916" customWidth="1"/>
    <col min="13" max="13" width="1.7109375" style="916" customWidth="1"/>
    <col min="14" max="14" width="17" style="916" customWidth="1"/>
    <col min="15" max="15" width="1.7109375" style="916" customWidth="1"/>
    <col min="16" max="16" width="18.140625" style="916" customWidth="1"/>
    <col min="17" max="17" width="7.7109375" style="916" bestFit="1" customWidth="1"/>
    <col min="18" max="18" width="3" style="916" hidden="1" customWidth="1"/>
    <col min="19" max="19" width="9.140625" style="916"/>
    <col min="20" max="20" width="3" style="916" bestFit="1" customWidth="1"/>
    <col min="21" max="16384" width="9.140625" style="916"/>
  </cols>
  <sheetData>
    <row r="1" spans="1:18" ht="15">
      <c r="A1" s="1641"/>
    </row>
    <row r="2" spans="1:18" ht="15.75">
      <c r="A2" s="1642"/>
    </row>
    <row r="3" spans="1:18" ht="15.75">
      <c r="A3" s="1642"/>
    </row>
    <row r="4" spans="1:18" ht="15.75">
      <c r="B4" s="2522" t="s">
        <v>878</v>
      </c>
      <c r="C4" s="2522"/>
      <c r="D4" s="2522"/>
      <c r="E4" s="2522"/>
      <c r="F4" s="2522"/>
      <c r="G4" s="2522"/>
      <c r="H4" s="2522"/>
      <c r="I4" s="2522"/>
      <c r="J4" s="2522"/>
      <c r="K4" s="2522"/>
      <c r="L4" s="2522"/>
      <c r="M4" s="2522"/>
      <c r="N4" s="2522"/>
      <c r="O4" s="2522"/>
      <c r="P4" s="2522"/>
    </row>
    <row r="5" spans="1:18" ht="15.75">
      <c r="B5" s="2523" t="str">
        <f>+'SWEPCO WS A-1 - Plant'!A3</f>
        <v xml:space="preserve">Actual / Projected 2018 Rate Year Cost of Service Formula Rate </v>
      </c>
      <c r="C5" s="2523"/>
      <c r="D5" s="2523"/>
      <c r="E5" s="2523"/>
      <c r="F5" s="2523"/>
      <c r="G5" s="2523"/>
      <c r="H5" s="2523"/>
      <c r="I5" s="2523"/>
      <c r="J5" s="2523"/>
      <c r="K5" s="2523"/>
      <c r="L5" s="2523"/>
      <c r="M5" s="2523"/>
      <c r="N5" s="2523"/>
      <c r="O5" s="2523"/>
      <c r="P5" s="2523"/>
    </row>
    <row r="6" spans="1:18" ht="15.75">
      <c r="B6" s="2523" t="s">
        <v>1354</v>
      </c>
      <c r="C6" s="2523"/>
      <c r="D6" s="2523"/>
      <c r="E6" s="2523"/>
      <c r="F6" s="2523"/>
      <c r="G6" s="2523"/>
      <c r="H6" s="2523"/>
      <c r="I6" s="2523"/>
      <c r="J6" s="2523"/>
      <c r="K6" s="2523"/>
      <c r="L6" s="2523"/>
      <c r="M6" s="2523"/>
      <c r="N6" s="2523"/>
      <c r="O6" s="2523"/>
      <c r="P6" s="2523"/>
    </row>
    <row r="7" spans="1:18" ht="15.75">
      <c r="B7" s="2479" t="str">
        <f>+'SWEPCO TCOS'!F8</f>
        <v>SOUTHWESTERN ELECTRIC POWER COMPANY</v>
      </c>
      <c r="C7" s="2479"/>
      <c r="D7" s="2479"/>
      <c r="E7" s="2479"/>
      <c r="F7" s="2479"/>
      <c r="G7" s="2479"/>
      <c r="H7" s="2479"/>
      <c r="I7" s="2479"/>
      <c r="J7" s="2479"/>
      <c r="K7" s="2479"/>
      <c r="L7" s="2479"/>
      <c r="M7" s="2479"/>
      <c r="N7" s="2479"/>
      <c r="O7" s="2479"/>
      <c r="P7" s="2479"/>
      <c r="Q7" s="1696"/>
      <c r="R7" s="1696"/>
    </row>
    <row r="8" spans="1:18">
      <c r="B8" s="791"/>
      <c r="C8" s="791"/>
      <c r="D8" s="791"/>
      <c r="E8" s="791"/>
      <c r="F8" s="791"/>
      <c r="G8" s="791"/>
      <c r="H8" s="791"/>
      <c r="I8" s="791"/>
      <c r="J8" s="791"/>
      <c r="K8" s="791"/>
      <c r="L8" s="791"/>
      <c r="M8" s="791"/>
      <c r="N8" s="791"/>
      <c r="O8" s="791"/>
      <c r="P8" s="791"/>
    </row>
    <row r="9" spans="1:18">
      <c r="B9" s="791"/>
      <c r="C9" s="791"/>
      <c r="D9" s="791"/>
      <c r="E9" s="791"/>
      <c r="F9" s="791"/>
      <c r="G9" s="791"/>
      <c r="H9" s="791"/>
      <c r="I9" s="791"/>
      <c r="J9" s="791"/>
      <c r="K9" s="791"/>
      <c r="L9" s="791"/>
      <c r="M9" s="791"/>
      <c r="N9" s="791"/>
      <c r="O9" s="791"/>
      <c r="P9" s="791"/>
    </row>
    <row r="10" spans="1:18" ht="16.5" thickBot="1">
      <c r="B10" s="1643"/>
      <c r="C10" s="1644"/>
      <c r="D10" s="1644"/>
      <c r="E10" s="1644"/>
      <c r="F10" s="1644"/>
      <c r="G10" s="1644"/>
      <c r="H10" s="1644"/>
      <c r="I10" s="1644"/>
      <c r="J10" s="1644"/>
      <c r="K10" s="1644"/>
      <c r="O10" s="1644"/>
      <c r="P10" s="1644"/>
    </row>
    <row r="11" spans="1:18" ht="51.75">
      <c r="B11" s="1645" t="str">
        <f>"True up Revenue Requirement For Year "&amp;J11&amp;" Available May, "&amp;J12</f>
        <v>True up Revenue Requirement For Year 2018 Available May, 2019</v>
      </c>
      <c r="C11" s="1644"/>
      <c r="D11" s="1645" t="s">
        <v>1384</v>
      </c>
      <c r="E11" s="1646"/>
      <c r="F11" s="1647" t="s">
        <v>1098</v>
      </c>
      <c r="G11" s="926"/>
      <c r="H11" s="1648" t="s">
        <v>1099</v>
      </c>
      <c r="I11" s="1644"/>
      <c r="J11" s="1649">
        <f>+'SWEPCO TCOS'!N2</f>
        <v>2018</v>
      </c>
      <c r="K11" s="1644"/>
      <c r="O11" s="926"/>
      <c r="P11" s="926"/>
    </row>
    <row r="12" spans="1:18" ht="15.75">
      <c r="B12" s="1650" t="s">
        <v>256</v>
      </c>
      <c r="C12" s="1644"/>
      <c r="D12" s="1650"/>
      <c r="E12" s="1646"/>
      <c r="F12" s="1651"/>
      <c r="G12" s="926"/>
      <c r="H12" s="1652" t="s">
        <v>1100</v>
      </c>
      <c r="I12" s="1653"/>
      <c r="J12" s="1654">
        <f>J11+1</f>
        <v>2019</v>
      </c>
      <c r="O12" s="926"/>
      <c r="P12" s="926"/>
    </row>
    <row r="13" spans="1:18" ht="16.5" thickBot="1">
      <c r="B13" s="650">
        <f>+'Sch 1 Rates'!L22</f>
        <v>705572.4806527989</v>
      </c>
      <c r="C13" s="651" t="s">
        <v>1101</v>
      </c>
      <c r="D13" s="650">
        <v>307942.58134720003</v>
      </c>
      <c r="E13" s="652" t="s">
        <v>1102</v>
      </c>
      <c r="F13" s="653">
        <f>IF(B13=0,0,D13-B13)</f>
        <v>-397629.89930559887</v>
      </c>
      <c r="G13" s="1655"/>
      <c r="H13" s="1656" t="s">
        <v>1103</v>
      </c>
      <c r="I13" s="1657"/>
      <c r="J13" s="1658">
        <f>J12+1</f>
        <v>2020</v>
      </c>
      <c r="O13" s="926"/>
      <c r="P13" s="926"/>
    </row>
    <row r="14" spans="1:18" ht="15.75">
      <c r="B14" s="1657"/>
      <c r="C14" s="1659"/>
      <c r="D14" s="1657"/>
      <c r="E14" s="1657"/>
      <c r="F14" s="1657"/>
      <c r="G14" s="1657"/>
      <c r="H14" s="926"/>
      <c r="I14" s="926"/>
      <c r="O14" s="926"/>
      <c r="P14" s="926"/>
    </row>
    <row r="15" spans="1:18" ht="16.5" thickBot="1">
      <c r="B15" s="1660"/>
      <c r="C15" s="1661"/>
      <c r="D15" s="1660"/>
      <c r="E15" s="1660"/>
      <c r="F15" s="1660"/>
      <c r="G15" s="1660"/>
      <c r="H15" s="1660"/>
      <c r="I15" s="1660"/>
      <c r="J15" s="1660"/>
      <c r="K15" s="1660"/>
      <c r="L15" s="1660"/>
      <c r="M15" s="1660"/>
      <c r="N15" s="1662"/>
      <c r="O15" s="1662"/>
      <c r="P15" s="1662"/>
    </row>
    <row r="16" spans="1:18" ht="15.75">
      <c r="B16" s="1663"/>
      <c r="C16" s="1659"/>
      <c r="D16" s="1657"/>
      <c r="E16" s="1657"/>
      <c r="F16" s="1657"/>
      <c r="G16" s="1657"/>
      <c r="H16" s="1657"/>
      <c r="I16" s="1657"/>
      <c r="J16" s="1657"/>
      <c r="K16" s="1657"/>
      <c r="L16" s="1657"/>
      <c r="M16" s="1657"/>
      <c r="N16" s="926"/>
      <c r="O16" s="926"/>
      <c r="P16" s="926"/>
    </row>
    <row r="17" spans="2:18" ht="63">
      <c r="B17" s="1664" t="s">
        <v>1104</v>
      </c>
      <c r="C17" s="1659"/>
      <c r="D17" s="1665" t="s">
        <v>1105</v>
      </c>
      <c r="E17" s="1665"/>
      <c r="F17" s="1665" t="s">
        <v>1106</v>
      </c>
      <c r="G17" s="1665"/>
      <c r="H17" s="1665" t="s">
        <v>1107</v>
      </c>
      <c r="I17" s="1657"/>
      <c r="J17" s="1666" t="s">
        <v>1108</v>
      </c>
      <c r="K17" s="1657"/>
      <c r="L17" s="1665" t="s">
        <v>1358</v>
      </c>
      <c r="M17" s="1667"/>
      <c r="N17" s="1666" t="s">
        <v>1109</v>
      </c>
      <c r="O17" s="1668"/>
      <c r="P17" s="1665" t="s">
        <v>1111</v>
      </c>
    </row>
    <row r="18" spans="2:18" ht="15.75">
      <c r="B18" s="1669"/>
      <c r="C18" s="1659"/>
      <c r="D18" s="926"/>
      <c r="E18" s="926"/>
      <c r="F18" s="926"/>
      <c r="G18" s="926"/>
      <c r="H18" s="926"/>
      <c r="I18" s="2314"/>
      <c r="J18" s="2314"/>
      <c r="K18" s="2314"/>
      <c r="N18" s="926"/>
      <c r="O18" s="926"/>
      <c r="P18" s="926"/>
    </row>
    <row r="19" spans="2:18" ht="15.75">
      <c r="B19" s="1697" t="s">
        <v>1112</v>
      </c>
      <c r="C19" s="1659"/>
      <c r="D19" s="1659"/>
      <c r="E19" s="1659"/>
      <c r="F19" s="1659"/>
      <c r="G19" s="1659"/>
      <c r="H19" s="1659"/>
      <c r="I19" s="1659"/>
      <c r="J19" s="1659"/>
      <c r="K19" s="1659"/>
      <c r="L19" s="926"/>
      <c r="M19" s="926"/>
      <c r="N19" s="1667"/>
      <c r="O19" s="1659"/>
      <c r="P19" s="1659"/>
    </row>
    <row r="20" spans="2:18" ht="15.75">
      <c r="B20" s="1672" t="s">
        <v>128</v>
      </c>
      <c r="C20" s="1659"/>
      <c r="D20" s="1659"/>
      <c r="E20" s="1659"/>
      <c r="F20" s="1659"/>
      <c r="G20" s="1659"/>
      <c r="H20" s="1659"/>
      <c r="I20" s="1659"/>
      <c r="J20" s="1659"/>
      <c r="K20" s="1659"/>
      <c r="L20" s="926"/>
      <c r="M20" s="926"/>
      <c r="N20" s="1667"/>
      <c r="O20" s="1659"/>
      <c r="P20" s="1659"/>
    </row>
    <row r="21" spans="2:18" ht="15.75">
      <c r="B21" s="1673">
        <f t="shared" ref="B21:B32" si="0">DATE($J$11,R21,1)</f>
        <v>43101</v>
      </c>
      <c r="C21" s="1644"/>
      <c r="D21" s="2315">
        <f>F13/12</f>
        <v>-33135.824942133237</v>
      </c>
      <c r="E21" s="2316"/>
      <c r="F21" s="2315">
        <v>0</v>
      </c>
      <c r="G21" s="2315"/>
      <c r="H21" s="2315">
        <v>0</v>
      </c>
      <c r="I21" s="2315"/>
      <c r="J21" s="2315">
        <f>F21+H21</f>
        <v>0</v>
      </c>
      <c r="K21" s="2316"/>
      <c r="L21" s="641">
        <f>+'SWEPCO WS Q Interest Rate'!E13</f>
        <v>3.5999999999999999E-3</v>
      </c>
      <c r="M21" s="642"/>
      <c r="N21" s="2315">
        <f t="shared" ref="N21:N32" si="1">J21*L21</f>
        <v>0</v>
      </c>
      <c r="O21" s="2315"/>
      <c r="P21" s="2315">
        <f>D21+N21</f>
        <v>-33135.824942133237</v>
      </c>
      <c r="R21" s="916">
        <v>1</v>
      </c>
    </row>
    <row r="22" spans="2:18" ht="15.75">
      <c r="B22" s="1673">
        <f t="shared" si="0"/>
        <v>43132</v>
      </c>
      <c r="C22" s="1644"/>
      <c r="D22" s="2315">
        <f>+D21</f>
        <v>-33135.824942133237</v>
      </c>
      <c r="E22" s="2316"/>
      <c r="F22" s="2315">
        <f>D21</f>
        <v>-33135.824942133237</v>
      </c>
      <c r="G22" s="2315"/>
      <c r="H22" s="2315">
        <v>0</v>
      </c>
      <c r="I22" s="2315"/>
      <c r="J22" s="2315">
        <f t="shared" ref="J22:J31" si="2">F22+H22</f>
        <v>-33135.824942133237</v>
      </c>
      <c r="K22" s="2316"/>
      <c r="L22" s="641">
        <f>+'SWEPCO WS Q Interest Rate'!E14</f>
        <v>3.3E-3</v>
      </c>
      <c r="M22" s="642"/>
      <c r="N22" s="2315">
        <f t="shared" si="1"/>
        <v>-109.34822230903968</v>
      </c>
      <c r="O22" s="2315"/>
      <c r="P22" s="2315">
        <f>SUM($D$21:D22)+SUM($N$21:N22)</f>
        <v>-66380.998106575513</v>
      </c>
      <c r="R22" s="916">
        <v>2</v>
      </c>
    </row>
    <row r="23" spans="2:18" ht="15.75">
      <c r="B23" s="1673">
        <f t="shared" si="0"/>
        <v>43160</v>
      </c>
      <c r="C23" s="1644"/>
      <c r="D23" s="2315">
        <f>+D22</f>
        <v>-33135.824942133237</v>
      </c>
      <c r="E23" s="2316"/>
      <c r="F23" s="2315">
        <f>D22+F22</f>
        <v>-66271.649884266473</v>
      </c>
      <c r="G23" s="2315"/>
      <c r="H23" s="2315">
        <v>0</v>
      </c>
      <c r="I23" s="2315"/>
      <c r="J23" s="2315">
        <f t="shared" si="2"/>
        <v>-66271.649884266473</v>
      </c>
      <c r="K23" s="2316"/>
      <c r="L23" s="641">
        <f>+'SWEPCO WS Q Interest Rate'!E15</f>
        <v>3.5999999999999999E-3</v>
      </c>
      <c r="M23" s="642"/>
      <c r="N23" s="2315">
        <f t="shared" si="1"/>
        <v>-238.5779395833593</v>
      </c>
      <c r="O23" s="2315"/>
      <c r="P23" s="2315">
        <f>SUM($D$21:D23)+SUM($N$21:N23)</f>
        <v>-99755.400988292095</v>
      </c>
      <c r="R23" s="916">
        <v>3</v>
      </c>
    </row>
    <row r="24" spans="2:18" ht="15.75">
      <c r="B24" s="1673">
        <f t="shared" si="0"/>
        <v>43191</v>
      </c>
      <c r="C24" s="1644"/>
      <c r="D24" s="2315">
        <f>+D23</f>
        <v>-33135.824942133237</v>
      </c>
      <c r="E24" s="2316"/>
      <c r="F24" s="2315">
        <f t="shared" ref="F24:F30" si="3">D23+F23</f>
        <v>-99407.474826399703</v>
      </c>
      <c r="G24" s="2315"/>
      <c r="H24" s="2315">
        <f>SUM($N$21:$N$23)</f>
        <v>-347.92616189239897</v>
      </c>
      <c r="I24" s="2315"/>
      <c r="J24" s="2315">
        <f t="shared" si="2"/>
        <v>-99755.400988292095</v>
      </c>
      <c r="K24" s="2316"/>
      <c r="L24" s="641">
        <f>+'SWEPCO WS Q Interest Rate'!E16</f>
        <v>3.7000000000000002E-3</v>
      </c>
      <c r="M24" s="642"/>
      <c r="N24" s="2315">
        <f t="shared" si="1"/>
        <v>-369.09498365668077</v>
      </c>
      <c r="O24" s="2315"/>
      <c r="P24" s="2315">
        <f>SUM($D$21:D24)+SUM($N$21:N24)</f>
        <v>-133260.32091408203</v>
      </c>
      <c r="R24" s="916">
        <v>4</v>
      </c>
    </row>
    <row r="25" spans="2:18" ht="15.75">
      <c r="B25" s="1673">
        <f t="shared" si="0"/>
        <v>43221</v>
      </c>
      <c r="C25" s="1644"/>
      <c r="D25" s="2315">
        <f t="shared" ref="D25:D30" si="4">+D24</f>
        <v>-33135.824942133237</v>
      </c>
      <c r="E25" s="2316"/>
      <c r="F25" s="2315">
        <f t="shared" si="3"/>
        <v>-132543.29976853295</v>
      </c>
      <c r="G25" s="2315"/>
      <c r="H25" s="2315">
        <f t="shared" ref="H25:H26" si="5">SUM($N$21:$N$23)</f>
        <v>-347.92616189239897</v>
      </c>
      <c r="I25" s="2315"/>
      <c r="J25" s="2315">
        <f t="shared" si="2"/>
        <v>-132891.22593042534</v>
      </c>
      <c r="K25" s="2316"/>
      <c r="L25" s="641">
        <f>+'SWEPCO WS Q Interest Rate'!E17</f>
        <v>3.8E-3</v>
      </c>
      <c r="M25" s="642"/>
      <c r="N25" s="2315">
        <f t="shared" si="1"/>
        <v>-504.9866585356163</v>
      </c>
      <c r="O25" s="2315"/>
      <c r="P25" s="2315">
        <f>SUM($D$21:D25)+SUM($N$21:N25)</f>
        <v>-166901.13251475088</v>
      </c>
      <c r="R25" s="916">
        <v>5</v>
      </c>
    </row>
    <row r="26" spans="2:18" ht="15.75">
      <c r="B26" s="1673">
        <f t="shared" si="0"/>
        <v>43252</v>
      </c>
      <c r="C26" s="1644"/>
      <c r="D26" s="2315">
        <f t="shared" si="4"/>
        <v>-33135.824942133237</v>
      </c>
      <c r="E26" s="2316"/>
      <c r="F26" s="2315">
        <f t="shared" si="3"/>
        <v>-165679.12471066619</v>
      </c>
      <c r="G26" s="2315"/>
      <c r="H26" s="2315">
        <f t="shared" si="5"/>
        <v>-347.92616189239897</v>
      </c>
      <c r="I26" s="2315"/>
      <c r="J26" s="2315">
        <f t="shared" si="2"/>
        <v>-166027.05087255858</v>
      </c>
      <c r="K26" s="2316"/>
      <c r="L26" s="641">
        <f>+'SWEPCO WS Q Interest Rate'!E18</f>
        <v>3.7000000000000002E-3</v>
      </c>
      <c r="M26" s="642"/>
      <c r="N26" s="2315">
        <f t="shared" si="1"/>
        <v>-614.30008822846673</v>
      </c>
      <c r="O26" s="2315"/>
      <c r="P26" s="2315">
        <f>SUM($D$21:D26)+SUM($N$21:N26)</f>
        <v>-200651.2575451126</v>
      </c>
      <c r="R26" s="916">
        <v>6</v>
      </c>
    </row>
    <row r="27" spans="2:18" ht="15.75">
      <c r="B27" s="1673">
        <f t="shared" si="0"/>
        <v>43282</v>
      </c>
      <c r="C27" s="1644"/>
      <c r="D27" s="2315">
        <f t="shared" si="4"/>
        <v>-33135.824942133237</v>
      </c>
      <c r="E27" s="2316"/>
      <c r="F27" s="2315">
        <f t="shared" si="3"/>
        <v>-198814.94965279943</v>
      </c>
      <c r="G27" s="2315"/>
      <c r="H27" s="2315">
        <f>$H$26+SUM($N$24:$N$26)</f>
        <v>-1836.3078923131627</v>
      </c>
      <c r="I27" s="2315"/>
      <c r="J27" s="2315">
        <f t="shared" si="2"/>
        <v>-200651.2575451126</v>
      </c>
      <c r="K27" s="2316"/>
      <c r="L27" s="641">
        <f>+'SWEPCO WS Q Interest Rate'!E19</f>
        <v>4.0000000000000001E-3</v>
      </c>
      <c r="M27" s="642"/>
      <c r="N27" s="2315">
        <f t="shared" si="1"/>
        <v>-802.6050301804504</v>
      </c>
      <c r="O27" s="2315"/>
      <c r="P27" s="2315">
        <f>SUM($D$21:D27)+SUM($N$21:N27)</f>
        <v>-234589.6875174263</v>
      </c>
      <c r="R27" s="916">
        <v>7</v>
      </c>
    </row>
    <row r="28" spans="2:18" ht="15.75">
      <c r="B28" s="1673">
        <f t="shared" si="0"/>
        <v>43313</v>
      </c>
      <c r="C28" s="1644"/>
      <c r="D28" s="2315">
        <f t="shared" si="4"/>
        <v>-33135.824942133237</v>
      </c>
      <c r="E28" s="2316"/>
      <c r="F28" s="2315">
        <f t="shared" si="3"/>
        <v>-231950.77459493268</v>
      </c>
      <c r="G28" s="2315"/>
      <c r="H28" s="2315">
        <f>$H$26+SUM($N$24:$N$26)</f>
        <v>-1836.3078923131627</v>
      </c>
      <c r="I28" s="2315"/>
      <c r="J28" s="2315">
        <f t="shared" si="2"/>
        <v>-233787.08248724585</v>
      </c>
      <c r="K28" s="2316"/>
      <c r="L28" s="641">
        <f>+'SWEPCO WS Q Interest Rate'!E20</f>
        <v>4.0000000000000001E-3</v>
      </c>
      <c r="M28" s="642"/>
      <c r="N28" s="2315">
        <f t="shared" si="1"/>
        <v>-935.14832994898336</v>
      </c>
      <c r="O28" s="2315"/>
      <c r="P28" s="2315">
        <f>SUM($D$21:D28)+SUM($N$21:N28)</f>
        <v>-268660.66078950849</v>
      </c>
      <c r="R28" s="916">
        <v>8</v>
      </c>
    </row>
    <row r="29" spans="2:18" ht="15.75">
      <c r="B29" s="1673">
        <f t="shared" si="0"/>
        <v>43344</v>
      </c>
      <c r="C29" s="1644"/>
      <c r="D29" s="2315">
        <f t="shared" si="4"/>
        <v>-33135.824942133237</v>
      </c>
      <c r="E29" s="2316"/>
      <c r="F29" s="2315">
        <f t="shared" si="3"/>
        <v>-265086.59953706589</v>
      </c>
      <c r="G29" s="2315"/>
      <c r="H29" s="2315">
        <f>$H$26+SUM($N$24:$N$26)</f>
        <v>-1836.3078923131627</v>
      </c>
      <c r="I29" s="2315"/>
      <c r="J29" s="2315">
        <f t="shared" si="2"/>
        <v>-266922.90742937906</v>
      </c>
      <c r="K29" s="2316"/>
      <c r="L29" s="641">
        <f>+'SWEPCO WS Q Interest Rate'!E21</f>
        <v>3.8999999999999998E-3</v>
      </c>
      <c r="M29" s="642"/>
      <c r="N29" s="2315">
        <f t="shared" si="1"/>
        <v>-1040.9993389745782</v>
      </c>
      <c r="O29" s="2315"/>
      <c r="P29" s="2315">
        <f>SUM($D$21:D29)+SUM($N$21:N29)</f>
        <v>-302837.4850706163</v>
      </c>
      <c r="R29" s="916">
        <v>9</v>
      </c>
    </row>
    <row r="30" spans="2:18" ht="15.75">
      <c r="B30" s="1673">
        <f t="shared" si="0"/>
        <v>43374</v>
      </c>
      <c r="C30" s="1644"/>
      <c r="D30" s="2315">
        <f t="shared" si="4"/>
        <v>-33135.824942133237</v>
      </c>
      <c r="E30" s="2316"/>
      <c r="F30" s="2315">
        <f t="shared" si="3"/>
        <v>-298222.42447919911</v>
      </c>
      <c r="G30" s="2315"/>
      <c r="H30" s="2315">
        <f>$H$29+SUM($N$27:$N$29)</f>
        <v>-4615.0605914171747</v>
      </c>
      <c r="I30" s="2315"/>
      <c r="J30" s="2315">
        <f t="shared" si="2"/>
        <v>-302837.4850706163</v>
      </c>
      <c r="K30" s="2316"/>
      <c r="L30" s="641">
        <f>+'SWEPCO WS Q Interest Rate'!E22</f>
        <v>4.1999999999999997E-3</v>
      </c>
      <c r="M30" s="642"/>
      <c r="N30" s="2315">
        <f t="shared" si="1"/>
        <v>-1271.9174372965883</v>
      </c>
      <c r="O30" s="2315"/>
      <c r="P30" s="2315">
        <f>SUM($D$21:D30)+SUM($N$21:N30)</f>
        <v>-337245.22745004611</v>
      </c>
      <c r="R30" s="916">
        <v>10</v>
      </c>
    </row>
    <row r="31" spans="2:18" ht="15.75">
      <c r="B31" s="1673">
        <f t="shared" si="0"/>
        <v>43405</v>
      </c>
      <c r="C31" s="1644"/>
      <c r="D31" s="2315">
        <f>+D30</f>
        <v>-33135.824942133237</v>
      </c>
      <c r="E31" s="2316"/>
      <c r="F31" s="2315">
        <f>D30+F30</f>
        <v>-331358.24942133232</v>
      </c>
      <c r="G31" s="2315"/>
      <c r="H31" s="2315">
        <f>$H$29+SUM($N$27:$N$29)</f>
        <v>-4615.0605914171747</v>
      </c>
      <c r="I31" s="2315"/>
      <c r="J31" s="2315">
        <f t="shared" si="2"/>
        <v>-335973.31001274951</v>
      </c>
      <c r="K31" s="2316"/>
      <c r="L31" s="641">
        <f>+'SWEPCO WS Q Interest Rate'!E23</f>
        <v>4.1000000000000003E-3</v>
      </c>
      <c r="M31" s="642"/>
      <c r="N31" s="2315">
        <f t="shared" si="1"/>
        <v>-1377.490571052273</v>
      </c>
      <c r="O31" s="2315"/>
      <c r="P31" s="2315">
        <f>SUM($D$21:D31)+SUM($N$21:N31)</f>
        <v>-371758.54296323156</v>
      </c>
      <c r="R31" s="916">
        <v>11</v>
      </c>
    </row>
    <row r="32" spans="2:18" ht="15.75">
      <c r="B32" s="1673">
        <f t="shared" si="0"/>
        <v>43435</v>
      </c>
      <c r="C32" s="1644"/>
      <c r="D32" s="2315">
        <f>+D31</f>
        <v>-33135.824942133237</v>
      </c>
      <c r="E32" s="2316"/>
      <c r="F32" s="2315">
        <f>D31+F31</f>
        <v>-364494.07436346554</v>
      </c>
      <c r="G32" s="2315"/>
      <c r="H32" s="2315">
        <f>$H$29+SUM($N$27:$N$29)</f>
        <v>-4615.0605914171747</v>
      </c>
      <c r="I32" s="2315"/>
      <c r="J32" s="2315">
        <f>F32+H32</f>
        <v>-369109.13495488273</v>
      </c>
      <c r="K32" s="2316"/>
      <c r="L32" s="641">
        <f>+'SWEPCO WS Q Interest Rate'!E24</f>
        <v>4.1999999999999997E-3</v>
      </c>
      <c r="M32" s="642"/>
      <c r="N32" s="2315">
        <f t="shared" si="1"/>
        <v>-1550.2583668105074</v>
      </c>
      <c r="O32" s="2315"/>
      <c r="P32" s="2315">
        <f>SUM($D$21:D32)+SUM($N$21:N32)</f>
        <v>-406444.62627217529</v>
      </c>
      <c r="R32" s="916">
        <v>12</v>
      </c>
    </row>
    <row r="33" spans="2:20" ht="15.75">
      <c r="B33" s="1644"/>
      <c r="C33" s="1644"/>
      <c r="D33" s="2315"/>
      <c r="E33" s="2316"/>
      <c r="F33" s="2315"/>
      <c r="G33" s="2315"/>
      <c r="H33" s="2315"/>
      <c r="I33" s="2315"/>
      <c r="J33" s="2315"/>
      <c r="K33" s="2316"/>
      <c r="L33" s="1659"/>
      <c r="M33" s="1644"/>
      <c r="N33" s="2317"/>
      <c r="O33" s="2315"/>
      <c r="P33" s="2318"/>
    </row>
    <row r="34" spans="2:20" ht="15.75">
      <c r="B34" s="1672" t="s">
        <v>1113</v>
      </c>
      <c r="C34" s="1644"/>
      <c r="D34" s="2315"/>
      <c r="E34" s="2316"/>
      <c r="F34" s="2315"/>
      <c r="G34" s="2315"/>
      <c r="H34" s="2315"/>
      <c r="I34" s="2315"/>
      <c r="J34" s="2315"/>
      <c r="K34" s="2316"/>
      <c r="L34" s="1659"/>
      <c r="M34" s="1644"/>
      <c r="N34" s="2315"/>
      <c r="O34" s="2315"/>
      <c r="P34" s="2319"/>
    </row>
    <row r="35" spans="2:20" ht="15.75">
      <c r="B35" s="1673">
        <f t="shared" ref="B35:B40" si="6">DATE($J$12,R35,1)</f>
        <v>43466</v>
      </c>
      <c r="C35" s="1644"/>
      <c r="D35" s="2315">
        <v>0</v>
      </c>
      <c r="E35" s="2316"/>
      <c r="F35" s="2315">
        <f>D32+F32</f>
        <v>-397629.89930559875</v>
      </c>
      <c r="G35" s="2315"/>
      <c r="H35" s="2315">
        <f>$H$32+SUM($N$30:$N$32)</f>
        <v>-8814.7269665765434</v>
      </c>
      <c r="I35" s="2315"/>
      <c r="J35" s="2315">
        <f>F35+H35</f>
        <v>-406444.62627217529</v>
      </c>
      <c r="K35" s="2316"/>
      <c r="L35" s="641">
        <f>+'SWEPCO WS Q Interest Rate'!E25</f>
        <v>4.4000000000000003E-3</v>
      </c>
      <c r="M35" s="642"/>
      <c r="N35" s="2315">
        <f t="shared" ref="N35:N40" si="7">J35*L35</f>
        <v>-1788.3563555975713</v>
      </c>
      <c r="O35" s="2315"/>
      <c r="P35" s="2315">
        <f>SUM($D$21:D35)+SUM($N$21:N35)</f>
        <v>-408232.98262777284</v>
      </c>
      <c r="R35" s="916">
        <v>1</v>
      </c>
    </row>
    <row r="36" spans="2:20" ht="15.75">
      <c r="B36" s="1673">
        <f t="shared" si="6"/>
        <v>43497</v>
      </c>
      <c r="C36" s="1644"/>
      <c r="D36" s="2315">
        <v>0</v>
      </c>
      <c r="E36" s="2316"/>
      <c r="F36" s="2315">
        <f>D35+F35</f>
        <v>-397629.89930559875</v>
      </c>
      <c r="G36" s="2315"/>
      <c r="H36" s="2315">
        <f>$H$32+SUM($N$30:$N$32)</f>
        <v>-8814.7269665765434</v>
      </c>
      <c r="I36" s="2315"/>
      <c r="J36" s="2315">
        <f>F36+H36</f>
        <v>-406444.62627217529</v>
      </c>
      <c r="K36" s="2316"/>
      <c r="L36" s="641">
        <f>+'SWEPCO WS Q Interest Rate'!E26</f>
        <v>4.0000000000000001E-3</v>
      </c>
      <c r="M36" s="642"/>
      <c r="N36" s="2315">
        <f t="shared" si="7"/>
        <v>-1625.7785050887012</v>
      </c>
      <c r="O36" s="2315"/>
      <c r="P36" s="2315">
        <f>SUM($D$21:D36)+SUM($N$21:N36)</f>
        <v>-409858.76113286155</v>
      </c>
      <c r="R36" s="916">
        <v>2</v>
      </c>
    </row>
    <row r="37" spans="2:20" ht="15.75">
      <c r="B37" s="1673">
        <f t="shared" si="6"/>
        <v>43525</v>
      </c>
      <c r="C37" s="1644"/>
      <c r="D37" s="2315">
        <v>0</v>
      </c>
      <c r="E37" s="2316"/>
      <c r="F37" s="2315">
        <f t="shared" ref="F37:F40" si="8">D36+F36</f>
        <v>-397629.89930559875</v>
      </c>
      <c r="G37" s="2315"/>
      <c r="H37" s="2315">
        <f>$H$32+SUM($N$30:$N$32)</f>
        <v>-8814.7269665765434</v>
      </c>
      <c r="I37" s="2315"/>
      <c r="J37" s="2315">
        <f t="shared" ref="J37:J40" si="9">F37+H37</f>
        <v>-406444.62627217529</v>
      </c>
      <c r="K37" s="2316"/>
      <c r="L37" s="641">
        <f>+'SWEPCO WS Q Interest Rate'!E27</f>
        <v>4.4000000000000003E-3</v>
      </c>
      <c r="M37" s="642"/>
      <c r="N37" s="2315">
        <f t="shared" si="7"/>
        <v>-1788.3563555975713</v>
      </c>
      <c r="O37" s="2315"/>
      <c r="P37" s="2315">
        <f>SUM($D$21:D37)+SUM($N$21:N37)</f>
        <v>-411647.11748845916</v>
      </c>
      <c r="R37" s="916">
        <v>3</v>
      </c>
    </row>
    <row r="38" spans="2:20" ht="15.75">
      <c r="B38" s="1673">
        <f t="shared" si="6"/>
        <v>43556</v>
      </c>
      <c r="C38" s="1644"/>
      <c r="D38" s="2315">
        <v>0</v>
      </c>
      <c r="E38" s="2316"/>
      <c r="F38" s="2315">
        <f t="shared" si="8"/>
        <v>-397629.89930559875</v>
      </c>
      <c r="G38" s="2315"/>
      <c r="H38" s="2315">
        <f>$H$37+SUM($N$35:$N$37)</f>
        <v>-14017.218182860386</v>
      </c>
      <c r="I38" s="2315"/>
      <c r="J38" s="2315">
        <f>F38+H38</f>
        <v>-411647.11748845916</v>
      </c>
      <c r="K38" s="2316"/>
      <c r="L38" s="641">
        <f>+'SWEPCO WS Q Interest Rate'!E28</f>
        <v>4.4999999999999997E-3</v>
      </c>
      <c r="M38" s="642"/>
      <c r="N38" s="2315">
        <f t="shared" si="7"/>
        <v>-1852.412028698066</v>
      </c>
      <c r="O38" s="2315"/>
      <c r="P38" s="2315">
        <f>SUM($D$21:D38)+SUM($N$21:N38)</f>
        <v>-413499.52951715718</v>
      </c>
      <c r="R38" s="916">
        <v>4</v>
      </c>
    </row>
    <row r="39" spans="2:20" ht="15.75">
      <c r="B39" s="1673">
        <f t="shared" si="6"/>
        <v>43586</v>
      </c>
      <c r="C39" s="1644"/>
      <c r="D39" s="2315">
        <v>0</v>
      </c>
      <c r="E39" s="2316"/>
      <c r="F39" s="2315">
        <f t="shared" si="8"/>
        <v>-397629.89930559875</v>
      </c>
      <c r="G39" s="2315"/>
      <c r="H39" s="2315">
        <f>$H$37+SUM($N$35:$N$37)</f>
        <v>-14017.218182860386</v>
      </c>
      <c r="I39" s="2315"/>
      <c r="J39" s="2315">
        <f t="shared" si="9"/>
        <v>-411647.11748845916</v>
      </c>
      <c r="K39" s="2316"/>
      <c r="L39" s="641">
        <f>+'SWEPCO WS Q Interest Rate'!E29</f>
        <v>4.5999999999999999E-3</v>
      </c>
      <c r="M39" s="642"/>
      <c r="N39" s="2315">
        <f t="shared" si="7"/>
        <v>-1893.576740446912</v>
      </c>
      <c r="O39" s="2315"/>
      <c r="P39" s="2315">
        <f>SUM($D$21:D39)+SUM($N$21:N39)</f>
        <v>-415393.10625760409</v>
      </c>
      <c r="R39" s="916">
        <v>5</v>
      </c>
    </row>
    <row r="40" spans="2:20" ht="16.5" thickBot="1">
      <c r="B40" s="1683">
        <f t="shared" si="6"/>
        <v>43617</v>
      </c>
      <c r="C40" s="1684"/>
      <c r="D40" s="2323">
        <v>0</v>
      </c>
      <c r="E40" s="2330"/>
      <c r="F40" s="2323">
        <f t="shared" si="8"/>
        <v>-397629.89930559875</v>
      </c>
      <c r="G40" s="2323"/>
      <c r="H40" s="2323">
        <f>$H$37+SUM($N$35:$N$37)</f>
        <v>-14017.218182860386</v>
      </c>
      <c r="I40" s="2323"/>
      <c r="J40" s="2323">
        <f t="shared" si="9"/>
        <v>-411647.11748845916</v>
      </c>
      <c r="K40" s="2330"/>
      <c r="L40" s="645">
        <f>+'SWEPCO WS Q Interest Rate'!E30</f>
        <v>4.4999999999999997E-3</v>
      </c>
      <c r="M40" s="646"/>
      <c r="N40" s="2323">
        <f t="shared" si="7"/>
        <v>-1852.412028698066</v>
      </c>
      <c r="O40" s="2323"/>
      <c r="P40" s="2323">
        <f>SUM($D$21:D40)+SUM($N$21:N40)</f>
        <v>-417245.51828630216</v>
      </c>
      <c r="R40" s="916">
        <v>6</v>
      </c>
    </row>
    <row r="41" spans="2:20" ht="15.75">
      <c r="B41" s="1644"/>
      <c r="C41" s="1644"/>
      <c r="D41" s="1657"/>
      <c r="E41" s="1657"/>
      <c r="F41" s="1657"/>
      <c r="G41" s="1657"/>
      <c r="H41" s="1657"/>
      <c r="I41" s="1657"/>
      <c r="J41" s="1657"/>
      <c r="K41" s="1657"/>
      <c r="L41" s="1644"/>
      <c r="M41" s="1644"/>
      <c r="N41" s="2315"/>
      <c r="O41" s="2315"/>
      <c r="P41" s="2315"/>
    </row>
    <row r="42" spans="2:20" ht="15">
      <c r="B42" s="926"/>
      <c r="C42" s="926"/>
      <c r="D42" s="926"/>
      <c r="E42" s="926"/>
      <c r="F42" s="926"/>
      <c r="G42" s="926"/>
      <c r="H42" s="926"/>
      <c r="I42" s="926"/>
      <c r="J42" s="926"/>
      <c r="K42" s="926"/>
      <c r="L42" s="926"/>
      <c r="M42" s="926"/>
      <c r="N42" s="2319"/>
      <c r="O42" s="2319"/>
      <c r="P42" s="2319"/>
    </row>
    <row r="43" spans="2:20" ht="15.75">
      <c r="B43" s="1685" t="s">
        <v>1115</v>
      </c>
      <c r="C43" s="1686"/>
      <c r="D43" s="1686"/>
      <c r="E43" s="1686"/>
      <c r="F43" s="1686"/>
      <c r="G43" s="1686"/>
      <c r="H43" s="1686"/>
      <c r="I43" s="1686"/>
      <c r="J43" s="1686"/>
      <c r="K43" s="1686"/>
      <c r="L43" s="1686"/>
      <c r="M43" s="1686"/>
      <c r="N43" s="1698"/>
      <c r="O43" s="2324"/>
      <c r="P43" s="2325">
        <f>P40</f>
        <v>-417245.51828630216</v>
      </c>
    </row>
    <row r="44" spans="2:20" ht="15.75">
      <c r="B44" s="1688" t="s">
        <v>1116</v>
      </c>
      <c r="C44" s="1689"/>
      <c r="D44" s="1689"/>
      <c r="E44" s="1689"/>
      <c r="F44" s="1689"/>
      <c r="G44" s="1689"/>
      <c r="H44" s="1689"/>
      <c r="I44" s="1689"/>
      <c r="J44" s="1689"/>
      <c r="K44" s="1689"/>
      <c r="L44" s="1689"/>
      <c r="M44" s="1689"/>
      <c r="N44" s="1699"/>
      <c r="O44" s="2326"/>
      <c r="P44" s="2317">
        <f>+F13</f>
        <v>-397629.89930559887</v>
      </c>
    </row>
    <row r="45" spans="2:20" ht="15.75">
      <c r="B45" s="1691" t="s">
        <v>1117</v>
      </c>
      <c r="C45" s="1692"/>
      <c r="D45" s="1692"/>
      <c r="E45" s="1692"/>
      <c r="F45" s="1692"/>
      <c r="G45" s="1692"/>
      <c r="H45" s="1692"/>
      <c r="I45" s="1692"/>
      <c r="J45" s="1692"/>
      <c r="K45" s="1692"/>
      <c r="L45" s="1692"/>
      <c r="M45" s="1692"/>
      <c r="N45" s="1700"/>
      <c r="O45" s="2327"/>
      <c r="P45" s="2328">
        <f>P43-P44</f>
        <v>-19615.618980703293</v>
      </c>
    </row>
    <row r="46" spans="2:20">
      <c r="B46" s="791"/>
      <c r="C46" s="791"/>
      <c r="D46" s="791"/>
      <c r="E46" s="791"/>
      <c r="F46" s="791"/>
      <c r="G46" s="791"/>
      <c r="H46" s="791"/>
      <c r="I46" s="791"/>
      <c r="J46" s="791"/>
      <c r="K46" s="791"/>
      <c r="L46" s="791"/>
      <c r="M46" s="791"/>
      <c r="N46" s="791"/>
      <c r="O46" s="791"/>
      <c r="P46" s="791"/>
    </row>
    <row r="47" spans="2:20" ht="15.75">
      <c r="B47" s="2525" t="s">
        <v>1350</v>
      </c>
      <c r="C47" s="2525"/>
      <c r="D47" s="2525"/>
      <c r="E47" s="2525"/>
      <c r="F47" s="2525"/>
      <c r="G47" s="2525"/>
      <c r="H47" s="2525"/>
      <c r="I47" s="2525"/>
      <c r="J47" s="2525"/>
      <c r="K47" s="2525"/>
      <c r="L47" s="2525"/>
      <c r="M47" s="2525"/>
      <c r="N47" s="2525"/>
      <c r="O47" s="1694"/>
      <c r="P47" s="1694"/>
      <c r="T47" s="2321"/>
    </row>
    <row r="48" spans="2:20" ht="17.25" customHeight="1">
      <c r="B48" s="2525"/>
      <c r="C48" s="2525"/>
      <c r="D48" s="2525"/>
      <c r="E48" s="2525"/>
      <c r="F48" s="2525"/>
      <c r="G48" s="2525"/>
      <c r="H48" s="2525"/>
      <c r="I48" s="2525"/>
      <c r="J48" s="2525"/>
      <c r="K48" s="2525"/>
      <c r="L48" s="2525"/>
      <c r="M48" s="2525"/>
      <c r="N48" s="2525"/>
      <c r="O48" s="791"/>
      <c r="P48" s="791"/>
    </row>
    <row r="50" spans="2:14">
      <c r="B50" s="2521" t="s">
        <v>1351</v>
      </c>
      <c r="C50" s="2521"/>
      <c r="D50" s="2521"/>
      <c r="E50" s="2521"/>
      <c r="F50" s="2521"/>
      <c r="G50" s="2521"/>
      <c r="H50" s="2521"/>
      <c r="I50" s="2521"/>
      <c r="J50" s="2521"/>
      <c r="K50" s="2521"/>
      <c r="L50" s="2521"/>
      <c r="M50" s="2521"/>
      <c r="N50" s="2521"/>
    </row>
    <row r="51" spans="2:14" ht="21.75" customHeight="1">
      <c r="B51" s="2521"/>
      <c r="C51" s="2521"/>
      <c r="D51" s="2521"/>
      <c r="E51" s="2521"/>
      <c r="F51" s="2521"/>
      <c r="G51" s="2521"/>
      <c r="H51" s="2521"/>
      <c r="I51" s="2521"/>
      <c r="J51" s="2521"/>
      <c r="K51" s="2521"/>
      <c r="L51" s="2521"/>
      <c r="M51" s="2521"/>
      <c r="N51" s="2521"/>
    </row>
    <row r="53" spans="2:14" ht="15.75">
      <c r="B53" s="166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sqref="A1:XFD1048576"/>
    </sheetView>
  </sheetViews>
  <sheetFormatPr defaultColWidth="9.140625" defaultRowHeight="12.75"/>
  <cols>
    <col min="1" max="1" width="11.28515625" style="2332" customWidth="1"/>
    <col min="2" max="2" width="11.7109375" style="2332" bestFit="1" customWidth="1"/>
    <col min="3" max="3" width="23.7109375" style="2332" customWidth="1"/>
    <col min="4" max="4" width="21" style="2332" customWidth="1"/>
    <col min="5" max="5" width="9.140625" style="2332"/>
    <col min="6" max="6" width="12" style="2332" bestFit="1" customWidth="1"/>
    <col min="7" max="7" width="18.28515625" style="2332" bestFit="1" customWidth="1"/>
    <col min="8" max="8" width="21.42578125" style="916" customWidth="1"/>
    <col min="9" max="9" width="1.5703125" style="916" customWidth="1"/>
    <col min="10" max="10" width="21" style="916" customWidth="1"/>
    <col min="11" max="11" width="1.7109375" style="916" customWidth="1"/>
    <col min="12" max="12" width="18.28515625" style="916" customWidth="1"/>
    <col min="13" max="13" width="1.7109375" style="916" customWidth="1"/>
    <col min="14" max="14" width="17" style="916" customWidth="1"/>
    <col min="15" max="15" width="1.7109375" style="916" customWidth="1"/>
    <col min="16" max="16" width="18.140625" style="916" customWidth="1"/>
    <col min="17" max="17" width="7.7109375" style="916" bestFit="1" customWidth="1"/>
    <col min="18" max="18" width="11.28515625" style="916" hidden="1" customWidth="1"/>
    <col min="19" max="19" width="9.140625" style="916"/>
    <col min="20" max="20" width="11.28515625" style="916" customWidth="1"/>
    <col min="21" max="16384" width="9.140625" style="916"/>
  </cols>
  <sheetData>
    <row r="1" spans="1:7" ht="15">
      <c r="A1" s="2331"/>
    </row>
    <row r="2" spans="1:7" ht="15.75">
      <c r="A2" s="1642"/>
    </row>
    <row r="3" spans="1:7" ht="15.75">
      <c r="A3" s="1642"/>
    </row>
    <row r="4" spans="1:7" ht="15.75">
      <c r="A4" s="1642"/>
    </row>
    <row r="5" spans="1:7" ht="15.75">
      <c r="A5" s="2583" t="s">
        <v>878</v>
      </c>
      <c r="B5" s="2583"/>
      <c r="C5" s="2583"/>
      <c r="D5" s="2583"/>
      <c r="E5" s="2583"/>
      <c r="F5" s="2583"/>
      <c r="G5" s="2583"/>
    </row>
    <row r="6" spans="1:7" ht="15.75">
      <c r="A6" s="2584" t="str">
        <f>+'SWEPCO WS A-1 - Plant'!A3</f>
        <v xml:space="preserve">Actual / Projected 2018 Rate Year Cost of Service Formula Rate </v>
      </c>
      <c r="B6" s="2584"/>
      <c r="C6" s="2584"/>
      <c r="D6" s="2584"/>
      <c r="E6" s="2584"/>
      <c r="F6" s="2584"/>
      <c r="G6" s="2584"/>
    </row>
    <row r="7" spans="1:7" ht="15.75">
      <c r="A7" s="2584" t="s">
        <v>1353</v>
      </c>
      <c r="B7" s="2584"/>
      <c r="C7" s="2584"/>
      <c r="D7" s="2584"/>
      <c r="E7" s="2584"/>
      <c r="F7" s="2584"/>
      <c r="G7" s="2584"/>
    </row>
    <row r="8" spans="1:7" ht="15.75" customHeight="1">
      <c r="A8" s="2585" t="str">
        <f>+'SWEPCO TCOS'!F8</f>
        <v>SOUTHWESTERN ELECTRIC POWER COMPANY</v>
      </c>
      <c r="B8" s="2585"/>
      <c r="C8" s="2585"/>
      <c r="D8" s="2585"/>
      <c r="E8" s="2585"/>
      <c r="F8" s="2585"/>
      <c r="G8" s="2585"/>
    </row>
    <row r="10" spans="1:7" ht="13.5" customHeight="1">
      <c r="A10" s="2586" t="s">
        <v>1359</v>
      </c>
      <c r="B10" s="2586"/>
      <c r="C10" s="2586"/>
      <c r="D10" s="2586"/>
      <c r="E10" s="2586"/>
      <c r="F10" s="2586"/>
      <c r="G10" s="2586"/>
    </row>
    <row r="11" spans="1:7">
      <c r="G11" s="2333"/>
    </row>
    <row r="12" spans="1:7">
      <c r="A12" s="2334"/>
      <c r="B12" s="2335" t="s">
        <v>1119</v>
      </c>
    </row>
    <row r="13" spans="1:7">
      <c r="A13" s="2336">
        <v>1</v>
      </c>
      <c r="C13" s="2337">
        <f>+'SWEPCO WS N Sch 11 TU'!B19</f>
        <v>43101</v>
      </c>
      <c r="E13" s="2338">
        <v>3.5999999999999999E-3</v>
      </c>
      <c r="F13" s="2339"/>
      <c r="G13" s="2339"/>
    </row>
    <row r="14" spans="1:7">
      <c r="A14" s="2336">
        <v>2</v>
      </c>
      <c r="C14" s="2337">
        <f>+'SWEPCO WS N Sch 11 TU'!B20</f>
        <v>43132</v>
      </c>
      <c r="E14" s="2338">
        <v>3.3E-3</v>
      </c>
      <c r="F14" s="2339"/>
      <c r="G14" s="2339"/>
    </row>
    <row r="15" spans="1:7">
      <c r="A15" s="2336">
        <v>3</v>
      </c>
      <c r="C15" s="2337">
        <f>+'SWEPCO WS N Sch 11 TU'!B21</f>
        <v>43160</v>
      </c>
      <c r="E15" s="2338">
        <v>3.5999999999999999E-3</v>
      </c>
      <c r="F15" s="2339"/>
      <c r="G15" s="2339"/>
    </row>
    <row r="16" spans="1:7">
      <c r="A16" s="2336">
        <v>4</v>
      </c>
      <c r="C16" s="2337">
        <f>+'SWEPCO WS N Sch 11 TU'!B22</f>
        <v>43191</v>
      </c>
      <c r="E16" s="2338">
        <v>3.7000000000000002E-3</v>
      </c>
      <c r="F16" s="2339"/>
      <c r="G16" s="2339"/>
    </row>
    <row r="17" spans="1:7">
      <c r="A17" s="2336">
        <v>5</v>
      </c>
      <c r="C17" s="2337">
        <f>+'SWEPCO WS N Sch 11 TU'!B23</f>
        <v>43221</v>
      </c>
      <c r="E17" s="2338">
        <v>3.8E-3</v>
      </c>
      <c r="F17" s="2340"/>
      <c r="G17" s="2339"/>
    </row>
    <row r="18" spans="1:7">
      <c r="A18" s="2336">
        <v>6</v>
      </c>
      <c r="C18" s="2337">
        <f>+'SWEPCO WS N Sch 11 TU'!B24</f>
        <v>43252</v>
      </c>
      <c r="E18" s="2338">
        <v>3.7000000000000002E-3</v>
      </c>
      <c r="F18" s="2339"/>
      <c r="G18" s="2339"/>
    </row>
    <row r="19" spans="1:7">
      <c r="A19" s="2336">
        <v>7</v>
      </c>
      <c r="C19" s="2337">
        <f>+'SWEPCO WS N Sch 11 TU'!B25</f>
        <v>43282</v>
      </c>
      <c r="E19" s="2338">
        <v>4.0000000000000001E-3</v>
      </c>
      <c r="F19" s="2339"/>
      <c r="G19" s="2339"/>
    </row>
    <row r="20" spans="1:7">
      <c r="A20" s="2336">
        <v>8</v>
      </c>
      <c r="C20" s="2337">
        <f>+'SWEPCO WS N Sch 11 TU'!B26</f>
        <v>43313</v>
      </c>
      <c r="E20" s="2338">
        <v>4.0000000000000001E-3</v>
      </c>
      <c r="F20" s="2339"/>
      <c r="G20" s="2339"/>
    </row>
    <row r="21" spans="1:7">
      <c r="A21" s="2336">
        <v>9</v>
      </c>
      <c r="C21" s="2337">
        <f>+'SWEPCO WS N Sch 11 TU'!B27</f>
        <v>43344</v>
      </c>
      <c r="E21" s="2338">
        <v>3.8999999999999998E-3</v>
      </c>
      <c r="F21" s="2339"/>
      <c r="G21" s="2339"/>
    </row>
    <row r="22" spans="1:7">
      <c r="A22" s="2336">
        <v>10</v>
      </c>
      <c r="C22" s="2337">
        <f>+'SWEPCO WS N Sch 11 TU'!B28</f>
        <v>43374</v>
      </c>
      <c r="E22" s="2338">
        <v>4.1999999999999997E-3</v>
      </c>
      <c r="F22" s="2339"/>
      <c r="G22" s="2339"/>
    </row>
    <row r="23" spans="1:7">
      <c r="A23" s="2336">
        <v>11</v>
      </c>
      <c r="C23" s="2337">
        <f>+'SWEPCO WS N Sch 11 TU'!B29</f>
        <v>43405</v>
      </c>
      <c r="E23" s="2338">
        <v>4.1000000000000003E-3</v>
      </c>
      <c r="F23" s="2340"/>
      <c r="G23" s="2339"/>
    </row>
    <row r="24" spans="1:7">
      <c r="A24" s="2336">
        <v>12</v>
      </c>
      <c r="C24" s="2337">
        <f>+'SWEPCO WS N Sch 11 TU'!B30</f>
        <v>43435</v>
      </c>
      <c r="E24" s="2338">
        <v>4.1999999999999997E-3</v>
      </c>
      <c r="F24" s="2339"/>
      <c r="G24" s="2339"/>
    </row>
    <row r="25" spans="1:7">
      <c r="A25" s="2336">
        <f>+A24+1</f>
        <v>13</v>
      </c>
      <c r="C25" s="2337">
        <f>+'SWEPCO WS N Sch 11 TU'!B33</f>
        <v>43466</v>
      </c>
      <c r="E25" s="2338">
        <v>4.4000000000000003E-3</v>
      </c>
      <c r="F25" s="2339"/>
      <c r="G25" s="2339"/>
    </row>
    <row r="26" spans="1:7">
      <c r="A26" s="2336">
        <f t="shared" ref="A26:A36" si="0">+A25+1</f>
        <v>14</v>
      </c>
      <c r="C26" s="2337">
        <f>+'SWEPCO WS N Sch 11 TU'!B34</f>
        <v>43497</v>
      </c>
      <c r="E26" s="2338">
        <v>4.0000000000000001E-3</v>
      </c>
      <c r="F26" s="2339"/>
      <c r="G26" s="2339"/>
    </row>
    <row r="27" spans="1:7">
      <c r="A27" s="2336">
        <f t="shared" si="0"/>
        <v>15</v>
      </c>
      <c r="C27" s="2337">
        <f>+'SWEPCO WS N Sch 11 TU'!B35</f>
        <v>43525</v>
      </c>
      <c r="E27" s="2338">
        <v>4.4000000000000003E-3</v>
      </c>
      <c r="F27" s="2339"/>
      <c r="G27" s="2339"/>
    </row>
    <row r="28" spans="1:7">
      <c r="A28" s="2336">
        <f t="shared" si="0"/>
        <v>16</v>
      </c>
      <c r="C28" s="2337">
        <f>+'SWEPCO WS N Sch 11 TU'!B36</f>
        <v>43556</v>
      </c>
      <c r="E28" s="2338">
        <v>4.4999999999999997E-3</v>
      </c>
      <c r="F28" s="2339"/>
      <c r="G28" s="2339"/>
    </row>
    <row r="29" spans="1:7">
      <c r="A29" s="2336">
        <f t="shared" si="0"/>
        <v>17</v>
      </c>
      <c r="C29" s="2337">
        <f>+'SWEPCO WS N Sch 11 TU'!B37</f>
        <v>43586</v>
      </c>
      <c r="E29" s="2338">
        <v>4.5999999999999999E-3</v>
      </c>
      <c r="F29" s="2339"/>
      <c r="G29" s="2339"/>
    </row>
    <row r="30" spans="1:7">
      <c r="A30" s="2336">
        <f t="shared" si="0"/>
        <v>18</v>
      </c>
      <c r="C30" s="2337">
        <f>+'SWEPCO WS N Sch 11 TU'!B38</f>
        <v>43617</v>
      </c>
      <c r="E30" s="2338">
        <v>4.4999999999999997E-3</v>
      </c>
      <c r="F30" s="2339"/>
      <c r="G30" s="2339"/>
    </row>
    <row r="31" spans="1:7">
      <c r="A31" s="2336">
        <f t="shared" si="0"/>
        <v>19</v>
      </c>
      <c r="C31" s="2337">
        <f>+'SWEPCO WS N Sch 11 TU'!B39</f>
        <v>43647</v>
      </c>
      <c r="E31" s="2338">
        <f>+E30</f>
        <v>4.4999999999999997E-3</v>
      </c>
      <c r="F31" s="2339"/>
      <c r="G31" s="2339"/>
    </row>
    <row r="32" spans="1:7">
      <c r="A32" s="2336">
        <f t="shared" si="0"/>
        <v>20</v>
      </c>
      <c r="C32" s="2337">
        <f>+'SWEPCO WS N Sch 11 TU'!B40</f>
        <v>43678</v>
      </c>
      <c r="E32" s="2338">
        <f>+E30</f>
        <v>4.4999999999999997E-3</v>
      </c>
      <c r="F32" s="2339"/>
      <c r="G32" s="2339"/>
    </row>
    <row r="33" spans="1:7">
      <c r="A33" s="2336">
        <f t="shared" si="0"/>
        <v>21</v>
      </c>
      <c r="C33" s="2337">
        <f>+'SWEPCO WS N Sch 11 TU'!B41</f>
        <v>43709</v>
      </c>
      <c r="E33" s="2338">
        <f>+E30</f>
        <v>4.4999999999999997E-3</v>
      </c>
      <c r="F33" s="2339"/>
      <c r="G33" s="2339"/>
    </row>
    <row r="34" spans="1:7">
      <c r="A34" s="2336">
        <f t="shared" si="0"/>
        <v>22</v>
      </c>
      <c r="C34" s="2337">
        <f>+'SWEPCO WS N Sch 11 TU'!B42</f>
        <v>43739</v>
      </c>
      <c r="E34" s="2338">
        <f>+E30</f>
        <v>4.4999999999999997E-3</v>
      </c>
      <c r="F34" s="2339"/>
      <c r="G34" s="2339"/>
    </row>
    <row r="35" spans="1:7">
      <c r="A35" s="2336">
        <f t="shared" si="0"/>
        <v>23</v>
      </c>
      <c r="C35" s="2337">
        <f>+'SWEPCO WS N Sch 11 TU'!B43</f>
        <v>43770</v>
      </c>
      <c r="E35" s="2338">
        <f>+E30</f>
        <v>4.4999999999999997E-3</v>
      </c>
      <c r="F35" s="2339"/>
      <c r="G35" s="2339"/>
    </row>
    <row r="36" spans="1:7">
      <c r="A36" s="2336">
        <f t="shared" si="0"/>
        <v>24</v>
      </c>
      <c r="C36" s="2337">
        <f>+'SWEPCO WS N Sch 11 TU'!B44</f>
        <v>43800</v>
      </c>
      <c r="E36" s="2338">
        <f>+E30</f>
        <v>4.4999999999999997E-3</v>
      </c>
      <c r="F36" s="2339"/>
      <c r="G36" s="2339"/>
    </row>
    <row r="37" spans="1:7">
      <c r="A37" s="2336"/>
      <c r="C37" s="2341"/>
      <c r="D37" s="2342"/>
      <c r="E37" s="2342"/>
      <c r="F37" s="2339"/>
      <c r="G37" s="2339"/>
    </row>
    <row r="38" spans="1:7">
      <c r="A38" s="2336"/>
      <c r="B38" s="2343" t="s">
        <v>1120</v>
      </c>
      <c r="C38" s="2341"/>
      <c r="D38" s="2342"/>
      <c r="E38" s="2342"/>
    </row>
    <row r="39" spans="1:7">
      <c r="A39" s="2336">
        <f>A36+1</f>
        <v>25</v>
      </c>
      <c r="B39" s="2344" t="str">
        <f>"Average Monthly Rate - Lines "&amp;A25&amp;"- "&amp;A36</f>
        <v>Average Monthly Rate - Lines 13- 24</v>
      </c>
      <c r="C39" s="2345"/>
      <c r="D39" s="2342"/>
      <c r="E39" s="2346">
        <f>+AVERAGE(E25:E36)</f>
        <v>4.4499999999999991E-3</v>
      </c>
    </row>
    <row r="40" spans="1:7">
      <c r="E40" s="2347"/>
    </row>
    <row r="41" spans="1:7" ht="30.75" customHeight="1">
      <c r="A41" s="2582" t="s">
        <v>1360</v>
      </c>
      <c r="B41" s="2582"/>
      <c r="C41" s="2582"/>
      <c r="D41" s="2582"/>
      <c r="E41" s="2582"/>
      <c r="F41" s="2582"/>
      <c r="G41" s="2582"/>
    </row>
    <row r="43" spans="1:7" ht="15.75">
      <c r="A43" s="1694"/>
    </row>
    <row r="46" spans="1:7" ht="15.75" customHeight="1">
      <c r="C46" s="1694"/>
      <c r="D46" s="1694"/>
      <c r="E46" s="1694"/>
      <c r="F46" s="1694"/>
      <c r="G46" s="1694"/>
    </row>
    <row r="47" spans="1:7" ht="12.75" customHeight="1">
      <c r="C47" s="1694"/>
      <c r="D47" s="1694"/>
      <c r="E47" s="1694"/>
      <c r="F47" s="1694"/>
      <c r="G47" s="1694"/>
    </row>
    <row r="49" spans="2:7" ht="12.75" customHeight="1">
      <c r="C49" s="2348"/>
      <c r="D49" s="2348"/>
      <c r="E49" s="2348"/>
      <c r="F49" s="2348"/>
      <c r="G49" s="2348"/>
    </row>
    <row r="50" spans="2:7" ht="12.75" customHeight="1">
      <c r="B50" s="2348"/>
      <c r="C50" s="2348"/>
      <c r="D50" s="2348"/>
      <c r="E50" s="2348"/>
      <c r="F50" s="2348"/>
      <c r="G50" s="2348"/>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5" fitToHeight="0" orientation="portrait" r:id="rId1"/>
  <headerFooter>
    <oddHeader>&amp;RAEP - SPP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1" zoomScaleNormal="81" zoomScaleSheetLayoutView="80" zoomScalePageLayoutView="90" workbookViewId="0">
      <selection activeCell="G11" sqref="G11"/>
    </sheetView>
  </sheetViews>
  <sheetFormatPr defaultColWidth="11.42578125" defaultRowHeight="12.75"/>
  <cols>
    <col min="1" max="1" width="9" style="1895" customWidth="1"/>
    <col min="2" max="2" width="4.28515625" style="1846" customWidth="1"/>
    <col min="3" max="3" width="51.42578125" style="1846" customWidth="1"/>
    <col min="4" max="4" width="21" style="1846" customWidth="1"/>
    <col min="5" max="5" width="16.5703125" style="1846" customWidth="1"/>
    <col min="6" max="6" width="18.5703125" style="1846" customWidth="1"/>
    <col min="7" max="7" width="20" style="1846" bestFit="1" customWidth="1"/>
    <col min="8" max="8" width="18.28515625" style="1846" customWidth="1"/>
    <col min="9" max="9" width="17" style="1846" customWidth="1"/>
    <col min="10" max="10" width="16" style="1846" customWidth="1"/>
    <col min="11" max="11" width="16.7109375" style="1846" customWidth="1"/>
    <col min="12" max="12" width="13.7109375" style="1846" customWidth="1"/>
    <col min="13" max="13" width="11.5703125" style="1846" customWidth="1"/>
    <col min="14" max="15" width="13.42578125" style="1846" customWidth="1"/>
    <col min="16" max="16" width="13.7109375" style="1846" customWidth="1"/>
    <col min="17" max="16384" width="11.42578125" style="1846"/>
  </cols>
  <sheetData>
    <row r="1" spans="1:15" ht="15">
      <c r="A1" s="1706"/>
    </row>
    <row r="2" spans="1:15" ht="15">
      <c r="A2" s="2554" t="str">
        <f>'SWEPCO TCOS'!F4</f>
        <v xml:space="preserve">AEP West SPP Member Operating Companies </v>
      </c>
      <c r="B2" s="2554"/>
      <c r="C2" s="2554"/>
      <c r="D2" s="2554"/>
      <c r="E2" s="2554"/>
      <c r="F2" s="2554"/>
      <c r="G2" s="2554"/>
      <c r="H2" s="2554"/>
      <c r="I2" s="1195"/>
      <c r="J2" s="791"/>
      <c r="K2" s="791"/>
    </row>
    <row r="3" spans="1:15" ht="15">
      <c r="A3" s="2554" t="str">
        <f>"Actual / Projected "&amp;'SWEPCO TCOS'!$N$2&amp;" Rate Year Cost of Service Formula Rate "</f>
        <v xml:space="preserve">Actual / Projected 2018 Rate Year Cost of Service Formula Rate </v>
      </c>
      <c r="B3" s="2554"/>
      <c r="C3" s="2554"/>
      <c r="D3" s="2554"/>
      <c r="E3" s="2554"/>
      <c r="F3" s="2554"/>
      <c r="G3" s="2554"/>
      <c r="H3" s="2554"/>
      <c r="I3" s="2349"/>
    </row>
    <row r="4" spans="1:15" ht="15.75">
      <c r="A4" s="2555" t="s">
        <v>1357</v>
      </c>
      <c r="B4" s="2554"/>
      <c r="C4" s="2554"/>
      <c r="D4" s="2554"/>
      <c r="E4" s="2554"/>
      <c r="F4" s="2554"/>
      <c r="G4" s="2554"/>
      <c r="H4" s="2554"/>
      <c r="I4" s="1848"/>
    </row>
    <row r="5" spans="1:15" ht="15.75">
      <c r="A5" s="2556" t="str">
        <f>+'SWEPCO TCOS'!$F$8</f>
        <v>SOUTHWESTERN ELECTRIC POWER COMPANY</v>
      </c>
      <c r="B5" s="2555"/>
      <c r="C5" s="2555"/>
      <c r="D5" s="2555"/>
      <c r="E5" s="2555"/>
      <c r="F5" s="2555"/>
      <c r="G5" s="2555"/>
      <c r="H5" s="2555"/>
      <c r="I5" s="2350"/>
    </row>
    <row r="6" spans="1:15" ht="15">
      <c r="A6" s="2350"/>
      <c r="B6" s="2350"/>
      <c r="C6" s="2350"/>
      <c r="F6" s="2351"/>
      <c r="G6" s="2351"/>
      <c r="H6" s="2351"/>
      <c r="I6" s="2351"/>
      <c r="J6" s="2351"/>
    </row>
    <row r="7" spans="1:15">
      <c r="C7" s="2352" t="s">
        <v>303</v>
      </c>
      <c r="D7" s="2352" t="s">
        <v>304</v>
      </c>
      <c r="E7" s="2352" t="s">
        <v>305</v>
      </c>
      <c r="F7" s="2352" t="s">
        <v>306</v>
      </c>
      <c r="G7" s="2352" t="s">
        <v>231</v>
      </c>
      <c r="H7" s="2352" t="s">
        <v>232</v>
      </c>
      <c r="I7" s="2352"/>
      <c r="J7" s="2352"/>
    </row>
    <row r="8" spans="1:15">
      <c r="A8" s="1202" t="s">
        <v>310</v>
      </c>
      <c r="C8" s="2352"/>
      <c r="D8" s="2352"/>
      <c r="E8" s="2353" t="s">
        <v>1194</v>
      </c>
      <c r="F8" s="1858" t="s">
        <v>15</v>
      </c>
      <c r="G8" s="1858" t="s">
        <v>60</v>
      </c>
      <c r="H8" s="2588" t="str">
        <f>"Average Balance for "&amp;'SWEPCO TCOS'!$N$2&amp;""</f>
        <v>Average Balance for 2018</v>
      </c>
      <c r="I8" s="2352"/>
      <c r="J8" s="2352"/>
    </row>
    <row r="9" spans="1:15">
      <c r="A9" s="1202" t="s">
        <v>248</v>
      </c>
      <c r="C9" s="1858" t="s">
        <v>308</v>
      </c>
      <c r="D9" s="2354" t="s">
        <v>392</v>
      </c>
      <c r="E9" s="2354" t="s">
        <v>1193</v>
      </c>
      <c r="F9" s="2355" t="str">
        <f>"12/31/"&amp;'SWEPCO TCOS'!$N$2&amp;""</f>
        <v>12/31/2018</v>
      </c>
      <c r="G9" s="2355" t="str">
        <f>"12/31/"&amp;'SWEPCO TCOS'!$N$2-1&amp;""</f>
        <v>12/31/2017</v>
      </c>
      <c r="H9" s="2589"/>
      <c r="I9" s="1858"/>
      <c r="J9" s="1858"/>
      <c r="L9" s="791"/>
      <c r="M9" s="791"/>
      <c r="N9" s="791"/>
      <c r="O9" s="791"/>
    </row>
    <row r="10" spans="1:15">
      <c r="A10" s="779"/>
      <c r="B10" s="779"/>
      <c r="C10" s="779"/>
      <c r="D10" s="779"/>
      <c r="E10" s="779"/>
      <c r="G10" s="2356"/>
      <c r="H10" s="1856"/>
      <c r="I10" s="1856"/>
      <c r="J10" s="779"/>
      <c r="K10" s="1856"/>
      <c r="L10" s="791"/>
      <c r="M10" s="791"/>
      <c r="N10" s="791"/>
      <c r="O10" s="791"/>
    </row>
    <row r="11" spans="1:15">
      <c r="A11" s="1895">
        <v>1</v>
      </c>
      <c r="C11" s="2357" t="s">
        <v>1581</v>
      </c>
      <c r="D11" s="2358" t="s">
        <v>1580</v>
      </c>
      <c r="E11" s="2358"/>
      <c r="F11" s="2357">
        <v>358347.071</v>
      </c>
      <c r="G11" s="2357">
        <v>108919.11</v>
      </c>
      <c r="H11" s="1794">
        <f t="shared" ref="H11:H17" si="0">IF(G11="",0,(F11+G11)/2)</f>
        <v>233633.09049999999</v>
      </c>
      <c r="J11" s="2359"/>
      <c r="L11" s="2359"/>
      <c r="M11" s="2359"/>
      <c r="N11" s="2359"/>
      <c r="O11" s="2359"/>
    </row>
    <row r="12" spans="1:15">
      <c r="A12" s="1895">
        <f t="shared" ref="A12:A18" si="1">+A11+1</f>
        <v>2</v>
      </c>
      <c r="C12" s="2357"/>
      <c r="D12" s="2360"/>
      <c r="E12" s="2357"/>
      <c r="F12" s="2357"/>
      <c r="G12" s="2357"/>
      <c r="H12" s="1794">
        <f t="shared" si="0"/>
        <v>0</v>
      </c>
      <c r="J12" s="2359"/>
      <c r="L12" s="2359"/>
      <c r="M12" s="2359"/>
      <c r="N12" s="2359"/>
      <c r="O12" s="2359"/>
    </row>
    <row r="13" spans="1:15">
      <c r="A13" s="1895">
        <f t="shared" si="1"/>
        <v>3</v>
      </c>
      <c r="C13" s="2357"/>
      <c r="D13" s="2360"/>
      <c r="E13" s="2357"/>
      <c r="F13" s="2357"/>
      <c r="G13" s="2357"/>
      <c r="H13" s="1794">
        <f t="shared" si="0"/>
        <v>0</v>
      </c>
      <c r="J13" s="2359"/>
      <c r="L13" s="2359"/>
      <c r="M13" s="2359"/>
      <c r="N13" s="2359"/>
      <c r="O13" s="2359"/>
    </row>
    <row r="14" spans="1:15">
      <c r="A14" s="1895">
        <f t="shared" si="1"/>
        <v>4</v>
      </c>
      <c r="C14" s="2357"/>
      <c r="D14" s="2360"/>
      <c r="E14" s="2357"/>
      <c r="F14" s="2357"/>
      <c r="G14" s="2357"/>
      <c r="H14" s="1794">
        <f t="shared" si="0"/>
        <v>0</v>
      </c>
      <c r="J14" s="2359"/>
      <c r="L14" s="2359"/>
      <c r="M14" s="2359"/>
      <c r="N14" s="2359"/>
      <c r="O14" s="2359"/>
    </row>
    <row r="15" spans="1:15">
      <c r="A15" s="1895">
        <f t="shared" si="1"/>
        <v>5</v>
      </c>
      <c r="C15" s="2357"/>
      <c r="D15" s="2360"/>
      <c r="E15" s="2357"/>
      <c r="F15" s="2357"/>
      <c r="G15" s="2357"/>
      <c r="H15" s="1794">
        <f t="shared" si="0"/>
        <v>0</v>
      </c>
      <c r="J15" s="2359"/>
      <c r="L15" s="2359"/>
      <c r="M15" s="2359"/>
      <c r="N15" s="2359"/>
      <c r="O15" s="2359"/>
    </row>
    <row r="16" spans="1:15">
      <c r="A16" s="1895">
        <f t="shared" si="1"/>
        <v>6</v>
      </c>
      <c r="C16" s="2361"/>
      <c r="D16" s="2361"/>
      <c r="E16" s="2361"/>
      <c r="F16" s="2361"/>
      <c r="G16" s="2361"/>
      <c r="H16" s="1794">
        <f t="shared" si="0"/>
        <v>0</v>
      </c>
      <c r="J16" s="2359"/>
      <c r="L16" s="2359"/>
      <c r="M16" s="2359"/>
      <c r="N16" s="2359"/>
      <c r="O16" s="2359"/>
    </row>
    <row r="17" spans="1:15">
      <c r="A17" s="1895">
        <f t="shared" si="1"/>
        <v>7</v>
      </c>
      <c r="C17" s="2361"/>
      <c r="D17" s="2361"/>
      <c r="E17" s="2361"/>
      <c r="F17" s="2361"/>
      <c r="G17" s="2361"/>
      <c r="H17" s="1794">
        <f t="shared" si="0"/>
        <v>0</v>
      </c>
      <c r="J17" s="2359"/>
      <c r="L17" s="2359"/>
      <c r="M17" s="2359"/>
      <c r="N17" s="2359"/>
      <c r="O17" s="2359"/>
    </row>
    <row r="18" spans="1:15">
      <c r="A18" s="1895">
        <f t="shared" si="1"/>
        <v>8</v>
      </c>
      <c r="C18" s="2362" t="s">
        <v>1154</v>
      </c>
      <c r="D18" s="2362"/>
      <c r="E18" s="2362"/>
      <c r="F18" s="2363">
        <f>+SUM(F11:F17)</f>
        <v>358347.071</v>
      </c>
      <c r="G18" s="2363">
        <f>+SUM(G11:G17)</f>
        <v>108919.11</v>
      </c>
      <c r="H18" s="2363">
        <f>+SUM(H11:H17)</f>
        <v>233633.09049999999</v>
      </c>
      <c r="J18" s="2359"/>
      <c r="L18" s="2359"/>
      <c r="M18" s="2359"/>
      <c r="N18" s="2359"/>
      <c r="O18" s="2359"/>
    </row>
    <row r="20" spans="1:15" ht="29.25" customHeight="1">
      <c r="A20" s="2587" t="s">
        <v>1195</v>
      </c>
      <c r="B20" s="2587"/>
      <c r="C20" s="2587"/>
      <c r="D20" s="2587"/>
      <c r="E20" s="2587"/>
      <c r="F20" s="2587"/>
      <c r="G20" s="2587"/>
      <c r="H20" s="2587"/>
    </row>
    <row r="23" spans="1:15">
      <c r="G23" s="1846" t="s">
        <v>256</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4" zoomScale="81" zoomScaleNormal="81" zoomScaleSheetLayoutView="90" zoomScalePageLayoutView="90" workbookViewId="0">
      <selection activeCell="I11" sqref="I11"/>
    </sheetView>
  </sheetViews>
  <sheetFormatPr defaultColWidth="11.42578125" defaultRowHeight="12.75"/>
  <cols>
    <col min="1" max="1" width="1.7109375" style="1895" customWidth="1"/>
    <col min="2" max="2" width="6.140625" style="1846" customWidth="1"/>
    <col min="3" max="3" width="4" style="1846" customWidth="1"/>
    <col min="4" max="4" width="35.28515625" style="1846" customWidth="1"/>
    <col min="5" max="5" width="14.140625" style="1846" customWidth="1"/>
    <col min="6" max="6" width="20" style="1846" bestFit="1" customWidth="1"/>
    <col min="7" max="7" width="18.42578125" style="1846" customWidth="1"/>
    <col min="8" max="8" width="10.85546875" style="1846" customWidth="1"/>
    <col min="9" max="9" width="16" style="1846" customWidth="1"/>
    <col min="10" max="10" width="13.7109375" style="1846" customWidth="1"/>
    <col min="11" max="11" width="10.85546875" style="1846" customWidth="1"/>
    <col min="12" max="12" width="14" style="1846" customWidth="1"/>
    <col min="13" max="13" width="11.85546875" style="1846" customWidth="1"/>
    <col min="14" max="14" width="14.42578125" style="1846" customWidth="1"/>
    <col min="15" max="15" width="13.42578125" style="1846" customWidth="1"/>
    <col min="16" max="16" width="13.7109375" style="1846" customWidth="1"/>
    <col min="17" max="16384" width="11.42578125" style="1846"/>
  </cols>
  <sheetData>
    <row r="1" spans="1:15" ht="15">
      <c r="A1" s="1706"/>
    </row>
    <row r="2" spans="1:15" ht="15">
      <c r="A2" s="2447" t="str">
        <f>+'SWEPCO TCOS'!F4</f>
        <v xml:space="preserve">AEP West SPP Member Operating Companies </v>
      </c>
      <c r="B2" s="2447"/>
      <c r="C2" s="2447"/>
      <c r="D2" s="2447"/>
      <c r="E2" s="2447"/>
      <c r="F2" s="2447"/>
      <c r="G2" s="2447"/>
      <c r="H2" s="2447"/>
      <c r="I2" s="2447"/>
      <c r="J2" s="2447"/>
    </row>
    <row r="3" spans="1:15" ht="15">
      <c r="A3" s="2554" t="str">
        <f>+'SWEPCO WS A-1 - Plant'!A3</f>
        <v xml:space="preserve">Actual / Projected 2018 Rate Year Cost of Service Formula Rate </v>
      </c>
      <c r="B3" s="2554"/>
      <c r="C3" s="2554"/>
      <c r="D3" s="2554"/>
      <c r="E3" s="2554"/>
      <c r="F3" s="2554"/>
      <c r="G3" s="2554"/>
      <c r="H3" s="2554"/>
      <c r="I3" s="2554"/>
      <c r="J3" s="2554"/>
    </row>
    <row r="4" spans="1:15" ht="15.75">
      <c r="A4" s="2555" t="s">
        <v>1348</v>
      </c>
      <c r="B4" s="2554"/>
      <c r="C4" s="2554"/>
      <c r="D4" s="2554"/>
      <c r="E4" s="2554"/>
      <c r="F4" s="2554"/>
      <c r="G4" s="2554"/>
      <c r="H4" s="2554"/>
      <c r="I4" s="2554"/>
      <c r="J4" s="2554"/>
    </row>
    <row r="5" spans="1:15" ht="15.75">
      <c r="A5" s="2479" t="str">
        <f>+'SWEPCO TCOS'!F8</f>
        <v>SOUTHWESTERN ELECTRIC POWER COMPANY</v>
      </c>
      <c r="B5" s="2479"/>
      <c r="C5" s="2479"/>
      <c r="D5" s="2479"/>
      <c r="E5" s="2479"/>
      <c r="F5" s="2479"/>
      <c r="G5" s="2479"/>
      <c r="H5" s="2479"/>
      <c r="I5" s="2479"/>
      <c r="J5" s="2479"/>
    </row>
    <row r="6" spans="1:15" ht="18">
      <c r="A6" s="1479"/>
      <c r="B6" s="1479"/>
      <c r="C6" s="1479"/>
      <c r="D6" s="1479"/>
      <c r="E6" s="1479"/>
      <c r="F6" s="1479"/>
      <c r="H6" s="1479"/>
      <c r="I6" s="1479"/>
      <c r="J6" s="1479"/>
      <c r="K6" s="2359"/>
      <c r="L6" s="2359"/>
      <c r="M6" s="2359"/>
      <c r="N6" s="2359"/>
      <c r="O6" s="2359"/>
    </row>
    <row r="7" spans="1:15" ht="18">
      <c r="A7" s="1479"/>
      <c r="B7" s="844"/>
      <c r="C7" s="844"/>
      <c r="D7" s="2497" t="s">
        <v>303</v>
      </c>
      <c r="E7" s="2497"/>
      <c r="F7" s="1058" t="s">
        <v>304</v>
      </c>
      <c r="G7" s="1058" t="s">
        <v>305</v>
      </c>
      <c r="H7" s="1058" t="s">
        <v>306</v>
      </c>
      <c r="I7" s="1058" t="s">
        <v>231</v>
      </c>
      <c r="J7" s="1479"/>
      <c r="K7" s="2359"/>
      <c r="L7" s="2359"/>
      <c r="M7" s="2359"/>
      <c r="N7" s="2359"/>
      <c r="O7" s="2359"/>
    </row>
    <row r="8" spans="1:15" ht="46.5" customHeight="1">
      <c r="A8" s="1479"/>
      <c r="B8" s="1267" t="s">
        <v>310</v>
      </c>
      <c r="C8" s="844"/>
      <c r="D8" s="2496" t="s">
        <v>308</v>
      </c>
      <c r="E8" s="2496"/>
      <c r="F8" s="2364" t="s">
        <v>1165</v>
      </c>
      <c r="G8" s="2364" t="s">
        <v>347</v>
      </c>
      <c r="H8" s="1060" t="s">
        <v>1178</v>
      </c>
      <c r="I8" s="1060" t="str">
        <f>+'SWEPCO TCOS'!N2&amp;" Amortization / (Deferral)"</f>
        <v>2018 Amortization / (Deferral)</v>
      </c>
      <c r="J8" s="1479"/>
      <c r="K8" s="2359"/>
      <c r="L8" s="2359"/>
      <c r="M8" s="2359"/>
      <c r="N8" s="2359"/>
      <c r="O8" s="2359"/>
    </row>
    <row r="9" spans="1:15" ht="15">
      <c r="A9" s="844"/>
      <c r="B9" s="2141"/>
      <c r="C9" s="1636"/>
      <c r="D9" s="2365"/>
      <c r="E9" s="2366"/>
      <c r="F9" s="2367"/>
      <c r="G9" s="2367"/>
      <c r="H9" s="2367"/>
      <c r="I9" s="2367"/>
      <c r="J9" s="785"/>
    </row>
    <row r="10" spans="1:15" ht="15">
      <c r="A10" s="844"/>
      <c r="B10" s="2141">
        <v>1</v>
      </c>
      <c r="C10" s="844"/>
      <c r="D10" s="2368" t="s">
        <v>1180</v>
      </c>
      <c r="E10" s="2366"/>
      <c r="F10" s="2367"/>
      <c r="G10" s="2367"/>
      <c r="H10" s="2367"/>
      <c r="I10" s="2367"/>
      <c r="J10" s="785"/>
    </row>
    <row r="11" spans="1:15" ht="15">
      <c r="A11" s="844"/>
      <c r="B11" s="2369" t="str">
        <f>+B$10&amp;"a"</f>
        <v>1a</v>
      </c>
      <c r="C11" s="844"/>
      <c r="D11" s="2370" t="s">
        <v>1783</v>
      </c>
      <c r="E11" s="2371"/>
      <c r="F11" s="2372"/>
      <c r="G11" s="2372"/>
      <c r="H11" s="2373">
        <v>566</v>
      </c>
      <c r="I11" s="2374">
        <v>31298.027999999998</v>
      </c>
      <c r="J11" s="785"/>
    </row>
    <row r="12" spans="1:15" ht="15">
      <c r="A12" s="844"/>
      <c r="B12" s="2369" t="str">
        <f>+B$10&amp;"b"</f>
        <v>1b</v>
      </c>
      <c r="C12" s="844"/>
      <c r="D12" s="2370"/>
      <c r="E12" s="2371"/>
      <c r="F12" s="2372"/>
      <c r="G12" s="2372"/>
      <c r="H12" s="2375"/>
      <c r="I12" s="2374"/>
      <c r="J12" s="785"/>
    </row>
    <row r="13" spans="1:15" ht="15">
      <c r="A13" s="844"/>
      <c r="B13" s="2369" t="str">
        <f>+B$10&amp;"c"</f>
        <v>1c</v>
      </c>
      <c r="C13" s="844"/>
      <c r="D13" s="2370"/>
      <c r="E13" s="2371"/>
      <c r="F13" s="2372"/>
      <c r="G13" s="2372"/>
      <c r="H13" s="2373"/>
      <c r="I13" s="2374"/>
      <c r="J13" s="785"/>
    </row>
    <row r="14" spans="1:15" ht="15">
      <c r="A14" s="844"/>
      <c r="B14" s="2369" t="str">
        <f>+B$10&amp;"d"</f>
        <v>1d</v>
      </c>
      <c r="C14" s="844"/>
      <c r="D14" s="2370"/>
      <c r="E14" s="2371"/>
      <c r="F14" s="2372"/>
      <c r="G14" s="2372"/>
      <c r="H14" s="2373"/>
      <c r="I14" s="2374"/>
      <c r="J14" s="785"/>
    </row>
    <row r="15" spans="1:15" ht="15">
      <c r="A15" s="844"/>
      <c r="B15" s="2369" t="str">
        <f>+B$10&amp;"e"</f>
        <v>1e</v>
      </c>
      <c r="C15" s="844"/>
      <c r="D15" s="2370"/>
      <c r="E15" s="2371"/>
      <c r="F15" s="2372"/>
      <c r="G15" s="2372"/>
      <c r="H15" s="2373"/>
      <c r="I15" s="2374"/>
      <c r="J15" s="785"/>
    </row>
    <row r="16" spans="1:15" ht="15">
      <c r="A16" s="844"/>
      <c r="B16" s="2141">
        <f>+B10+1</f>
        <v>2</v>
      </c>
      <c r="C16" s="844"/>
      <c r="D16" s="2376" t="s">
        <v>1166</v>
      </c>
      <c r="E16" s="2377"/>
      <c r="F16" s="2376"/>
      <c r="G16" s="2376"/>
      <c r="H16" s="2378"/>
      <c r="I16" s="2379">
        <f>+SUM(I11:I15)</f>
        <v>31298.027999999998</v>
      </c>
      <c r="J16" s="785"/>
    </row>
    <row r="17" spans="1:12" ht="15">
      <c r="A17" s="844"/>
      <c r="B17" s="2141"/>
      <c r="C17" s="844"/>
      <c r="D17" s="2365"/>
      <c r="E17" s="2366"/>
      <c r="F17" s="2365"/>
      <c r="G17" s="2365"/>
      <c r="H17" s="2380"/>
      <c r="I17" s="2381"/>
      <c r="J17" s="785"/>
    </row>
    <row r="18" spans="1:12" ht="15">
      <c r="A18" s="844"/>
      <c r="B18" s="2141">
        <f>+B16+1</f>
        <v>3</v>
      </c>
      <c r="C18" s="844"/>
      <c r="D18" s="2368" t="s">
        <v>1181</v>
      </c>
      <c r="E18" s="2366"/>
      <c r="F18" s="2365"/>
      <c r="G18" s="2365"/>
      <c r="H18" s="2380"/>
      <c r="I18" s="2381"/>
      <c r="J18" s="785"/>
    </row>
    <row r="19" spans="1:12" ht="15">
      <c r="A19" s="844"/>
      <c r="B19" s="2369" t="str">
        <f>+B$18&amp;"a"</f>
        <v>3a</v>
      </c>
      <c r="C19" s="844"/>
      <c r="D19" s="2370"/>
      <c r="E19" s="2371"/>
      <c r="F19" s="2372"/>
      <c r="G19" s="2372"/>
      <c r="H19" s="2373"/>
      <c r="I19" s="2374"/>
      <c r="J19" s="785"/>
    </row>
    <row r="20" spans="1:12" ht="15">
      <c r="A20" s="844"/>
      <c r="B20" s="2369" t="str">
        <f>+B$18&amp;"b"</f>
        <v>3b</v>
      </c>
      <c r="C20" s="844"/>
      <c r="D20" s="2370"/>
      <c r="E20" s="2371"/>
      <c r="F20" s="2372"/>
      <c r="G20" s="2372"/>
      <c r="H20" s="2373"/>
      <c r="I20" s="2374"/>
      <c r="J20" s="785"/>
    </row>
    <row r="21" spans="1:12" ht="15">
      <c r="A21" s="844"/>
      <c r="B21" s="2369" t="str">
        <f>+B$18&amp;"c"</f>
        <v>3c</v>
      </c>
      <c r="C21" s="844"/>
      <c r="D21" s="2370"/>
      <c r="E21" s="2371"/>
      <c r="F21" s="2372"/>
      <c r="G21" s="2372"/>
      <c r="H21" s="2373"/>
      <c r="I21" s="2374"/>
      <c r="J21" s="785"/>
    </row>
    <row r="22" spans="1:12" ht="15">
      <c r="A22" s="844"/>
      <c r="B22" s="2369" t="str">
        <f>+B$18&amp;"d"</f>
        <v>3d</v>
      </c>
      <c r="C22" s="844"/>
      <c r="D22" s="2370"/>
      <c r="E22" s="2371"/>
      <c r="F22" s="2370"/>
      <c r="G22" s="2370"/>
      <c r="H22" s="2373"/>
      <c r="I22" s="2374"/>
      <c r="J22" s="785"/>
    </row>
    <row r="23" spans="1:12" ht="15">
      <c r="A23" s="844"/>
      <c r="B23" s="2141">
        <f>+B18+1</f>
        <v>4</v>
      </c>
      <c r="C23" s="844"/>
      <c r="D23" s="2376" t="s">
        <v>1167</v>
      </c>
      <c r="E23" s="2377"/>
      <c r="F23" s="2376"/>
      <c r="G23" s="2376"/>
      <c r="H23" s="2378"/>
      <c r="I23" s="2379">
        <f>+SUM(I19:I22)</f>
        <v>0</v>
      </c>
      <c r="J23" s="785"/>
    </row>
    <row r="24" spans="1:12" ht="30" customHeight="1">
      <c r="A24" s="844"/>
      <c r="B24" s="2141"/>
      <c r="C24" s="844"/>
      <c r="D24" s="2365"/>
      <c r="E24" s="2366"/>
      <c r="F24" s="2365"/>
      <c r="G24" s="2365"/>
      <c r="H24" s="2380"/>
      <c r="I24" s="2381"/>
      <c r="J24" s="785"/>
    </row>
    <row r="25" spans="1:12" ht="15">
      <c r="A25" s="844"/>
      <c r="B25" s="2141">
        <f>+B23+1</f>
        <v>5</v>
      </c>
      <c r="C25" s="844"/>
      <c r="D25" s="2368" t="s">
        <v>1183</v>
      </c>
      <c r="E25" s="2366"/>
      <c r="F25" s="2367"/>
      <c r="G25" s="2367"/>
      <c r="H25" s="2367"/>
      <c r="I25" s="2367"/>
      <c r="J25" s="785"/>
    </row>
    <row r="26" spans="1:12" ht="15">
      <c r="A26" s="844"/>
      <c r="B26" s="2369" t="str">
        <f>+B$25&amp;"a"</f>
        <v>5a</v>
      </c>
      <c r="C26" s="844"/>
      <c r="D26" s="2382" t="s">
        <v>1571</v>
      </c>
      <c r="E26" s="2371"/>
      <c r="F26" s="2370"/>
      <c r="G26" s="2370"/>
      <c r="H26" s="2373">
        <v>926</v>
      </c>
      <c r="I26" s="2374">
        <v>533310</v>
      </c>
      <c r="J26" s="785"/>
      <c r="L26" s="1814"/>
    </row>
    <row r="27" spans="1:12" ht="15">
      <c r="A27" s="844"/>
      <c r="B27" s="2369" t="str">
        <f>+B$25&amp;"b"</f>
        <v>5b</v>
      </c>
      <c r="C27" s="844"/>
      <c r="D27" s="2370" t="s">
        <v>1783</v>
      </c>
      <c r="E27" s="2371"/>
      <c r="F27" s="2372"/>
      <c r="G27" s="2372"/>
      <c r="H27" s="2373">
        <v>921</v>
      </c>
      <c r="I27" s="2374">
        <v>54121.298999999999</v>
      </c>
      <c r="J27" s="785"/>
    </row>
    <row r="28" spans="1:12" ht="15">
      <c r="A28" s="844"/>
      <c r="B28" s="2141">
        <f>+B25+1</f>
        <v>6</v>
      </c>
      <c r="C28" s="844"/>
      <c r="D28" s="2376" t="s">
        <v>1166</v>
      </c>
      <c r="E28" s="2377"/>
      <c r="F28" s="2376"/>
      <c r="G28" s="2376"/>
      <c r="H28" s="2378"/>
      <c r="I28" s="2379">
        <f>+SUM(I26:I27)</f>
        <v>587431.299</v>
      </c>
      <c r="J28" s="785"/>
    </row>
    <row r="29" spans="1:12" ht="15">
      <c r="A29" s="844"/>
      <c r="B29" s="2141"/>
      <c r="C29" s="844"/>
      <c r="D29" s="2365"/>
      <c r="E29" s="2366"/>
      <c r="F29" s="2365"/>
      <c r="G29" s="2365"/>
      <c r="H29" s="2380"/>
      <c r="I29" s="2381"/>
      <c r="J29" s="785"/>
    </row>
    <row r="30" spans="1:12" ht="15">
      <c r="A30" s="844"/>
      <c r="B30" s="2141">
        <f>+B28+1</f>
        <v>7</v>
      </c>
      <c r="C30" s="844"/>
      <c r="D30" s="2368" t="s">
        <v>1184</v>
      </c>
      <c r="E30" s="2366"/>
      <c r="F30" s="2365"/>
      <c r="G30" s="2365"/>
      <c r="H30" s="2380"/>
      <c r="I30" s="2381"/>
      <c r="J30" s="785"/>
    </row>
    <row r="31" spans="1:12" ht="15">
      <c r="A31" s="844"/>
      <c r="B31" s="2369" t="str">
        <f>+B$30&amp;"a"</f>
        <v>7a</v>
      </c>
      <c r="C31" s="844"/>
      <c r="D31" s="2382" t="s">
        <v>1571</v>
      </c>
      <c r="E31" s="2371"/>
      <c r="F31" s="2383" t="s">
        <v>1784</v>
      </c>
      <c r="G31" s="2383"/>
      <c r="H31" s="2373">
        <v>926</v>
      </c>
      <c r="I31" s="2374">
        <f>+I26</f>
        <v>533310</v>
      </c>
      <c r="J31" s="785"/>
    </row>
    <row r="32" spans="1:12" ht="15">
      <c r="A32" s="844"/>
      <c r="B32" s="2369" t="str">
        <f>+B$30&amp;"b"</f>
        <v>7b</v>
      </c>
      <c r="C32" s="844"/>
      <c r="J32" s="785"/>
    </row>
    <row r="33" spans="1:14" ht="15">
      <c r="A33" s="844"/>
      <c r="B33" s="2141">
        <f>+B30+1</f>
        <v>8</v>
      </c>
      <c r="C33" s="844"/>
      <c r="D33" s="2376" t="s">
        <v>1167</v>
      </c>
      <c r="E33" s="2377"/>
      <c r="F33" s="2376"/>
      <c r="G33" s="2376"/>
      <c r="H33" s="2378"/>
      <c r="I33" s="2379">
        <f>+SUM(I31:I31)</f>
        <v>533310</v>
      </c>
      <c r="J33" s="785"/>
    </row>
    <row r="34" spans="1:14" ht="15">
      <c r="A34" s="844"/>
      <c r="B34" s="844"/>
      <c r="C34" s="844"/>
      <c r="D34" s="2365"/>
      <c r="E34" s="2366"/>
      <c r="F34" s="2365"/>
      <c r="G34" s="2365"/>
      <c r="H34" s="2380"/>
      <c r="I34" s="2381"/>
      <c r="J34" s="785"/>
    </row>
    <row r="36" spans="1:14" ht="15">
      <c r="D36" s="2384" t="s">
        <v>1188</v>
      </c>
      <c r="K36" s="2352"/>
      <c r="L36" s="2352"/>
      <c r="M36" s="2352"/>
      <c r="N36" s="2352"/>
    </row>
    <row r="37" spans="1:14" ht="12.75" hidden="1" customHeight="1">
      <c r="K37" s="1858"/>
      <c r="L37" s="1858"/>
      <c r="M37" s="1858"/>
    </row>
    <row r="38" spans="1:14" ht="12.75" customHeight="1">
      <c r="D38" s="2497" t="s">
        <v>303</v>
      </c>
      <c r="E38" s="2497"/>
      <c r="F38" s="1058" t="s">
        <v>304</v>
      </c>
      <c r="G38" s="1058" t="s">
        <v>305</v>
      </c>
      <c r="H38" s="1058" t="s">
        <v>306</v>
      </c>
      <c r="I38" s="1058" t="s">
        <v>231</v>
      </c>
      <c r="J38" s="1058" t="s">
        <v>232</v>
      </c>
      <c r="K38" s="1058" t="s">
        <v>233</v>
      </c>
      <c r="L38" s="1058" t="s">
        <v>238</v>
      </c>
      <c r="M38" s="1058" t="s">
        <v>179</v>
      </c>
      <c r="N38" s="1058" t="s">
        <v>73</v>
      </c>
    </row>
    <row r="39" spans="1:14" ht="43.5" customHeight="1">
      <c r="B39" s="2369">
        <f>+B33+1</f>
        <v>9</v>
      </c>
      <c r="D39" s="2385" t="s">
        <v>308</v>
      </c>
      <c r="E39" s="2386" t="s">
        <v>1172</v>
      </c>
      <c r="F39" s="2386" t="s">
        <v>1177</v>
      </c>
      <c r="G39" s="2386" t="s">
        <v>1173</v>
      </c>
      <c r="H39" s="2386" t="s">
        <v>1174</v>
      </c>
      <c r="I39" s="2387" t="str">
        <f>"Balance @ 12/31/"&amp;'SWEPCO TCOS'!$N$2&amp;""</f>
        <v>Balance @ 12/31/2018</v>
      </c>
      <c r="J39" s="2387" t="str">
        <f>"Balance @ 12/31/"&amp;'SWEPCO TCOS'!$N$2-1&amp;""</f>
        <v>Balance @ 12/31/2017</v>
      </c>
      <c r="K39" s="2388" t="s">
        <v>354</v>
      </c>
      <c r="L39" s="2388" t="s">
        <v>1190</v>
      </c>
      <c r="M39" s="2388" t="s">
        <v>1179</v>
      </c>
      <c r="N39" s="2388" t="s">
        <v>1175</v>
      </c>
    </row>
    <row r="40" spans="1:14">
      <c r="B40" s="2369" t="str">
        <f>+B$33+1&amp;"a"</f>
        <v>9a</v>
      </c>
      <c r="D40" s="2370"/>
      <c r="E40" s="2372"/>
      <c r="F40" s="2372"/>
      <c r="G40" s="2389"/>
      <c r="H40" s="2390"/>
      <c r="I40" s="1180"/>
      <c r="J40" s="1792"/>
      <c r="K40" s="1814">
        <f>+(I40+J40)/2</f>
        <v>0</v>
      </c>
      <c r="L40" s="2391"/>
      <c r="M40" s="2392"/>
      <c r="N40" s="1794">
        <f>+K40*M40</f>
        <v>0</v>
      </c>
    </row>
    <row r="41" spans="1:14">
      <c r="B41" s="2369" t="str">
        <f>+B$33+1&amp;"b"</f>
        <v>9b</v>
      </c>
      <c r="D41" s="2370"/>
      <c r="E41" s="2372"/>
      <c r="F41" s="2372"/>
      <c r="G41" s="2389"/>
      <c r="H41" s="2390"/>
      <c r="I41" s="1180"/>
      <c r="J41" s="1180"/>
      <c r="K41" s="1814">
        <f t="shared" ref="K41:K44" si="0">+(I41+J41)/2</f>
        <v>0</v>
      </c>
      <c r="L41" s="2391"/>
      <c r="M41" s="2392"/>
      <c r="N41" s="1794">
        <f t="shared" ref="N41:N44" si="1">+K41*M41</f>
        <v>0</v>
      </c>
    </row>
    <row r="42" spans="1:14">
      <c r="B42" s="2369" t="str">
        <f>+B$33+1&amp;"c"</f>
        <v>9c</v>
      </c>
      <c r="D42" s="2370"/>
      <c r="E42" s="2372"/>
      <c r="F42" s="2372"/>
      <c r="G42" s="2389"/>
      <c r="H42" s="2390"/>
      <c r="I42" s="1180"/>
      <c r="J42" s="1180"/>
      <c r="K42" s="1814">
        <f t="shared" si="0"/>
        <v>0</v>
      </c>
      <c r="L42" s="2391"/>
      <c r="M42" s="2393"/>
      <c r="N42" s="1794">
        <f t="shared" si="1"/>
        <v>0</v>
      </c>
    </row>
    <row r="43" spans="1:14">
      <c r="B43" s="2369" t="str">
        <f>+B$33+1&amp;"d"</f>
        <v>9d</v>
      </c>
      <c r="D43" s="2370"/>
      <c r="E43" s="2372"/>
      <c r="F43" s="2372"/>
      <c r="G43" s="2389"/>
      <c r="H43" s="2390"/>
      <c r="I43" s="1180"/>
      <c r="J43" s="1792"/>
      <c r="K43" s="1814">
        <f t="shared" si="0"/>
        <v>0</v>
      </c>
      <c r="L43" s="2374"/>
      <c r="M43" s="2392"/>
      <c r="N43" s="1794">
        <f t="shared" si="1"/>
        <v>0</v>
      </c>
    </row>
    <row r="44" spans="1:14">
      <c r="B44" s="2369" t="str">
        <f>+B$33+1&amp;"e"</f>
        <v>9e</v>
      </c>
      <c r="D44" s="2370"/>
      <c r="E44" s="2372"/>
      <c r="F44" s="2372"/>
      <c r="G44" s="2389"/>
      <c r="H44" s="2390"/>
      <c r="I44" s="1180"/>
      <c r="J44" s="1792"/>
      <c r="K44" s="1814">
        <f t="shared" si="0"/>
        <v>0</v>
      </c>
      <c r="L44" s="2374"/>
      <c r="M44" s="2392"/>
      <c r="N44" s="1794">
        <f t="shared" si="1"/>
        <v>0</v>
      </c>
    </row>
    <row r="45" spans="1:14">
      <c r="B45" s="2369">
        <f>+B39+1</f>
        <v>10</v>
      </c>
      <c r="D45" s="2362" t="s">
        <v>1176</v>
      </c>
      <c r="E45" s="2362"/>
      <c r="F45" s="2362"/>
      <c r="G45" s="2362"/>
      <c r="H45" s="2362"/>
      <c r="I45" s="2394">
        <f>+SUM(I40:I44)</f>
        <v>0</v>
      </c>
      <c r="J45" s="2394">
        <f t="shared" ref="J45:K45" si="2">+SUM(J40:J44)</f>
        <v>0</v>
      </c>
      <c r="K45" s="2394">
        <f t="shared" si="2"/>
        <v>0</v>
      </c>
      <c r="L45" s="2362"/>
      <c r="M45" s="2362"/>
      <c r="N45" s="2394">
        <f>+SUM(N40:N44)</f>
        <v>0</v>
      </c>
    </row>
    <row r="46" spans="1:14">
      <c r="B46" s="1895"/>
    </row>
    <row r="47" spans="1:14" ht="18">
      <c r="A47" s="1634"/>
      <c r="B47" s="2395" t="s">
        <v>316</v>
      </c>
      <c r="C47" s="2395"/>
      <c r="D47" s="2395"/>
      <c r="E47" s="2395"/>
      <c r="F47" s="2395"/>
      <c r="G47" s="2395"/>
      <c r="H47" s="2395"/>
      <c r="I47" s="2395"/>
      <c r="J47" s="1634"/>
    </row>
    <row r="48" spans="1:14" ht="23.25" customHeight="1">
      <c r="A48" s="1634"/>
      <c r="B48" s="2396">
        <v>1</v>
      </c>
      <c r="C48" s="2397"/>
      <c r="D48" s="2590" t="s">
        <v>1185</v>
      </c>
      <c r="E48" s="2590"/>
      <c r="F48" s="2590"/>
      <c r="G48" s="2590"/>
      <c r="H48" s="2590"/>
      <c r="I48" s="2590"/>
      <c r="J48" s="2590"/>
      <c r="K48" s="2590"/>
      <c r="L48" s="2590"/>
      <c r="M48" s="2590"/>
      <c r="N48" s="2590"/>
    </row>
    <row r="49" spans="1:15" ht="18">
      <c r="A49" s="1634"/>
      <c r="B49" s="2396">
        <v>2</v>
      </c>
      <c r="C49" s="2398"/>
      <c r="D49" s="2590" t="s">
        <v>1330</v>
      </c>
      <c r="E49" s="2590"/>
      <c r="F49" s="2590"/>
      <c r="G49" s="2590"/>
      <c r="H49" s="2590"/>
      <c r="I49" s="2590"/>
      <c r="J49" s="2590"/>
      <c r="K49" s="2590"/>
      <c r="L49" s="2590"/>
      <c r="M49" s="2590"/>
      <c r="N49" s="2590"/>
      <c r="O49" s="791"/>
    </row>
    <row r="50" spans="1:15" ht="33" customHeight="1">
      <c r="A50" s="1634"/>
      <c r="B50" s="2396">
        <v>3</v>
      </c>
      <c r="C50" s="2399"/>
      <c r="D50" s="2590" t="s">
        <v>1182</v>
      </c>
      <c r="E50" s="2590"/>
      <c r="F50" s="2590"/>
      <c r="G50" s="2590"/>
      <c r="H50" s="2590"/>
      <c r="I50" s="2590"/>
      <c r="J50" s="2590"/>
      <c r="K50" s="2590"/>
      <c r="L50" s="2590"/>
      <c r="M50" s="2590"/>
      <c r="N50" s="2590"/>
      <c r="O50" s="791"/>
    </row>
    <row r="51" spans="1:15" ht="18">
      <c r="A51" s="1479"/>
      <c r="B51" s="2396">
        <v>4</v>
      </c>
      <c r="C51" s="1479"/>
      <c r="D51" s="2590" t="s">
        <v>1331</v>
      </c>
      <c r="E51" s="2590"/>
      <c r="F51" s="2590"/>
      <c r="G51" s="2590"/>
      <c r="H51" s="2590"/>
      <c r="I51" s="2590"/>
      <c r="J51" s="2590"/>
      <c r="K51" s="2590"/>
      <c r="L51" s="2590"/>
      <c r="M51" s="2590"/>
      <c r="N51" s="2590"/>
      <c r="O51" s="2359"/>
    </row>
    <row r="52" spans="1:15" ht="30.75" customHeight="1">
      <c r="B52" s="2396">
        <v>5</v>
      </c>
      <c r="C52" s="1479"/>
      <c r="D52" s="2590" t="s">
        <v>1192</v>
      </c>
      <c r="E52" s="2590"/>
      <c r="F52" s="2590"/>
      <c r="G52" s="2590"/>
      <c r="H52" s="2590"/>
      <c r="I52" s="2590"/>
      <c r="J52" s="2590"/>
      <c r="K52" s="2590"/>
      <c r="L52" s="2590"/>
      <c r="M52" s="2590"/>
      <c r="N52" s="2590"/>
    </row>
    <row r="53" spans="1:15" ht="18">
      <c r="B53" s="2396">
        <v>6</v>
      </c>
      <c r="C53" s="1479"/>
      <c r="D53" s="2590" t="s">
        <v>1191</v>
      </c>
      <c r="E53" s="2590"/>
      <c r="F53" s="2590"/>
      <c r="G53" s="2590"/>
      <c r="H53" s="2590"/>
      <c r="I53" s="2590"/>
      <c r="J53" s="2590"/>
      <c r="K53" s="2590"/>
      <c r="L53" s="2590"/>
      <c r="M53" s="2590"/>
      <c r="N53" s="2590"/>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zoomScaleSheetLayoutView="70" workbookViewId="0">
      <selection sqref="A1:XFD1048576"/>
    </sheetView>
  </sheetViews>
  <sheetFormatPr defaultColWidth="9.140625" defaultRowHeight="12.75"/>
  <cols>
    <col min="1" max="1" width="6.7109375" style="364" customWidth="1"/>
    <col min="2" max="2" width="7.5703125" style="364" bestFit="1" customWidth="1"/>
    <col min="3" max="4" width="13.42578125" style="364" bestFit="1" customWidth="1"/>
    <col min="5" max="5" width="11" style="364" bestFit="1" customWidth="1"/>
    <col min="6" max="6" width="3.28515625" style="364" customWidth="1"/>
    <col min="7" max="7" width="11.85546875" style="364" bestFit="1" customWidth="1"/>
    <col min="8" max="8" width="13.42578125" style="364" bestFit="1" customWidth="1"/>
    <col min="9" max="9" width="11" style="364" bestFit="1" customWidth="1"/>
    <col min="10" max="10" width="3.28515625" style="364" customWidth="1"/>
    <col min="11" max="11" width="10.5703125" style="364" bestFit="1" customWidth="1"/>
    <col min="12" max="12" width="13.42578125" style="364" bestFit="1" customWidth="1"/>
    <col min="13" max="13" width="11" style="364" bestFit="1" customWidth="1"/>
    <col min="14" max="14" width="3.28515625" style="364" customWidth="1"/>
    <col min="15" max="15" width="10.5703125" style="364" bestFit="1" customWidth="1"/>
    <col min="16" max="16" width="13.42578125" style="364" bestFit="1" customWidth="1"/>
    <col min="17" max="17" width="11" style="364" bestFit="1" customWidth="1"/>
    <col min="18" max="18" width="3.28515625" style="364" customWidth="1"/>
    <col min="19" max="19" width="11" style="364" bestFit="1" customWidth="1"/>
    <col min="20" max="16384" width="9.140625" style="364"/>
  </cols>
  <sheetData>
    <row r="1" spans="1:19" ht="15">
      <c r="A1" s="2400"/>
    </row>
    <row r="2" spans="1:19" ht="15">
      <c r="A2" s="2595" t="s">
        <v>878</v>
      </c>
      <c r="B2" s="2595"/>
      <c r="C2" s="2595"/>
      <c r="D2" s="2595"/>
      <c r="E2" s="2595"/>
      <c r="F2" s="2595"/>
      <c r="G2" s="2595"/>
      <c r="H2" s="2595"/>
      <c r="I2" s="2595"/>
      <c r="J2" s="2595"/>
      <c r="K2" s="2595"/>
      <c r="L2" s="2595"/>
      <c r="M2" s="2595"/>
      <c r="N2" s="2595"/>
      <c r="O2" s="2595"/>
      <c r="P2" s="2595"/>
      <c r="Q2" s="2595"/>
      <c r="R2" s="2595"/>
      <c r="S2" s="2595"/>
    </row>
    <row r="3" spans="1:19" ht="15">
      <c r="A3" s="2596" t="s">
        <v>1283</v>
      </c>
      <c r="B3" s="2596"/>
      <c r="C3" s="2596"/>
      <c r="D3" s="2596"/>
      <c r="E3" s="2596"/>
      <c r="F3" s="2596"/>
      <c r="G3" s="2596"/>
      <c r="H3" s="2596"/>
      <c r="I3" s="2596"/>
      <c r="J3" s="2596"/>
      <c r="K3" s="2596"/>
      <c r="L3" s="2596"/>
      <c r="M3" s="2596"/>
      <c r="N3" s="2596"/>
      <c r="O3" s="2596"/>
      <c r="P3" s="2596"/>
      <c r="Q3" s="2596"/>
      <c r="R3" s="2596"/>
      <c r="S3" s="2596"/>
    </row>
    <row r="4" spans="1:19" ht="15.75">
      <c r="A4" s="2597" t="s">
        <v>1349</v>
      </c>
      <c r="B4" s="2597"/>
      <c r="C4" s="2597"/>
      <c r="D4" s="2597"/>
      <c r="E4" s="2597"/>
      <c r="F4" s="2597"/>
      <c r="G4" s="2597"/>
      <c r="H4" s="2597"/>
      <c r="I4" s="2597"/>
      <c r="J4" s="2597"/>
      <c r="K4" s="2597"/>
      <c r="L4" s="2597"/>
      <c r="M4" s="2597"/>
      <c r="N4" s="2597"/>
      <c r="O4" s="2597"/>
      <c r="P4" s="2597"/>
      <c r="Q4" s="2597"/>
      <c r="R4" s="2597"/>
      <c r="S4" s="2597"/>
    </row>
    <row r="5" spans="1:19" ht="15.75">
      <c r="A5" s="2598" t="str">
        <f>+'SWEPCO WS A-1 - Plant'!A5:H5</f>
        <v>SOUTHWESTERN ELECTRIC POWER COMPANY</v>
      </c>
      <c r="B5" s="2597"/>
      <c r="C5" s="2597"/>
      <c r="D5" s="2597"/>
      <c r="E5" s="2597"/>
      <c r="F5" s="2597"/>
      <c r="G5" s="2597"/>
      <c r="H5" s="2597"/>
      <c r="I5" s="2597"/>
      <c r="J5" s="2597"/>
      <c r="K5" s="2597"/>
      <c r="L5" s="2597"/>
      <c r="M5" s="2597"/>
      <c r="N5" s="2597"/>
      <c r="O5" s="2597"/>
      <c r="P5" s="2597"/>
      <c r="Q5" s="2597"/>
      <c r="R5" s="2597"/>
      <c r="S5" s="2597"/>
    </row>
    <row r="8" spans="1:19" ht="15">
      <c r="A8" s="2592" t="s">
        <v>1221</v>
      </c>
      <c r="B8" s="2592"/>
      <c r="C8" s="2592"/>
      <c r="D8" s="2592"/>
      <c r="E8" s="2592"/>
      <c r="F8" s="2592"/>
      <c r="G8" s="2592"/>
      <c r="H8" s="2592"/>
      <c r="I8" s="2592"/>
      <c r="J8" s="2592"/>
      <c r="K8" s="2592"/>
      <c r="L8" s="2592"/>
      <c r="M8" s="2592"/>
      <c r="N8" s="2592"/>
      <c r="O8" s="2592"/>
      <c r="P8" s="2592"/>
      <c r="Q8" s="2592"/>
      <c r="R8" s="2592"/>
      <c r="S8" s="2592"/>
    </row>
    <row r="9" spans="1:19" ht="15">
      <c r="A9" s="2594" t="s">
        <v>1369</v>
      </c>
      <c r="B9" s="2594"/>
      <c r="C9" s="2594"/>
      <c r="D9" s="2594"/>
      <c r="E9" s="2594"/>
      <c r="F9" s="2594"/>
      <c r="G9" s="2594"/>
      <c r="H9" s="2594"/>
      <c r="I9" s="2594"/>
      <c r="J9" s="2594"/>
      <c r="K9" s="2594"/>
      <c r="L9" s="2594"/>
      <c r="M9" s="2594"/>
      <c r="N9" s="2594"/>
      <c r="O9" s="2594"/>
      <c r="P9" s="2594"/>
      <c r="Q9" s="2594"/>
      <c r="R9" s="2594"/>
      <c r="S9" s="2594"/>
    </row>
    <row r="10" spans="1:19" ht="15">
      <c r="A10" s="2592" t="s">
        <v>1222</v>
      </c>
      <c r="B10" s="2592"/>
      <c r="C10" s="2592"/>
      <c r="D10" s="2592"/>
      <c r="E10" s="2592"/>
      <c r="F10" s="2592"/>
      <c r="G10" s="2592"/>
      <c r="H10" s="2592"/>
      <c r="I10" s="2592"/>
      <c r="J10" s="2592"/>
      <c r="K10" s="2592"/>
      <c r="L10" s="2592"/>
      <c r="M10" s="2592"/>
      <c r="N10" s="2592"/>
      <c r="O10" s="2592"/>
      <c r="P10" s="2592"/>
      <c r="Q10" s="2592"/>
      <c r="R10" s="2592"/>
      <c r="S10" s="2592"/>
    </row>
    <row r="11" spans="1:19">
      <c r="A11" s="2401"/>
      <c r="B11" s="2401"/>
      <c r="C11" s="2402"/>
      <c r="D11" s="2403"/>
      <c r="E11" s="2403"/>
      <c r="F11" s="2403"/>
      <c r="G11" s="2404"/>
      <c r="H11" s="2403"/>
      <c r="S11" s="2405" t="s">
        <v>1223</v>
      </c>
    </row>
    <row r="12" spans="1:19" ht="13.5" thickBot="1">
      <c r="A12" s="2401"/>
      <c r="B12" s="2401"/>
      <c r="C12" s="2593" t="s">
        <v>1224</v>
      </c>
      <c r="D12" s="2593" t="s">
        <v>1224</v>
      </c>
      <c r="E12" s="2593"/>
      <c r="F12" s="2406"/>
      <c r="G12" s="2593" t="s">
        <v>1225</v>
      </c>
      <c r="H12" s="2593"/>
      <c r="I12" s="2593"/>
      <c r="J12" s="2401"/>
      <c r="K12" s="2593" t="s">
        <v>1226</v>
      </c>
      <c r="L12" s="2593"/>
      <c r="M12" s="2593"/>
      <c r="N12" s="2401"/>
      <c r="O12" s="2593" t="s">
        <v>1227</v>
      </c>
      <c r="P12" s="2593"/>
      <c r="Q12" s="2593"/>
      <c r="R12" s="2401"/>
      <c r="S12" s="2407" t="s">
        <v>1228</v>
      </c>
    </row>
    <row r="13" spans="1:19">
      <c r="A13" s="2401"/>
      <c r="B13" s="2401"/>
      <c r="C13" s="2408"/>
      <c r="D13" s="2409"/>
      <c r="E13" s="2409"/>
      <c r="F13" s="2409"/>
      <c r="G13" s="2410"/>
      <c r="H13" s="2409"/>
      <c r="I13" s="2409"/>
      <c r="J13" s="2409"/>
      <c r="K13" s="2411"/>
      <c r="L13" s="2409"/>
      <c r="M13" s="2409"/>
      <c r="N13" s="2409"/>
      <c r="O13" s="2411"/>
      <c r="P13" s="2409"/>
      <c r="Q13" s="2409"/>
      <c r="R13" s="2409"/>
      <c r="S13" s="2409"/>
    </row>
    <row r="14" spans="1:19">
      <c r="A14" s="2401"/>
      <c r="B14" s="2401"/>
      <c r="C14" s="2408" t="s">
        <v>256</v>
      </c>
      <c r="D14" s="2409"/>
      <c r="E14" s="2408" t="s">
        <v>1229</v>
      </c>
      <c r="F14" s="2408"/>
      <c r="G14" s="538"/>
      <c r="H14" s="2409"/>
      <c r="I14" s="2408" t="s">
        <v>1229</v>
      </c>
      <c r="J14" s="2409"/>
      <c r="L14" s="2409"/>
      <c r="M14" s="2408" t="s">
        <v>1229</v>
      </c>
      <c r="N14" s="2409"/>
      <c r="P14" s="2409"/>
      <c r="Q14" s="2408" t="s">
        <v>1229</v>
      </c>
      <c r="R14" s="2409"/>
      <c r="S14" s="2408" t="s">
        <v>1229</v>
      </c>
    </row>
    <row r="15" spans="1:19">
      <c r="A15" s="2401"/>
      <c r="B15" s="2408" t="s">
        <v>1230</v>
      </c>
      <c r="C15" s="2408" t="s">
        <v>1231</v>
      </c>
      <c r="D15" s="2408" t="s">
        <v>1232</v>
      </c>
      <c r="E15" s="2408" t="s">
        <v>1233</v>
      </c>
      <c r="F15" s="2408"/>
      <c r="G15" s="2410" t="s">
        <v>1225</v>
      </c>
      <c r="H15" s="2408" t="s">
        <v>1232</v>
      </c>
      <c r="I15" s="2408" t="s">
        <v>1233</v>
      </c>
      <c r="J15" s="2409"/>
      <c r="K15" s="2408" t="s">
        <v>1226</v>
      </c>
      <c r="L15" s="2408" t="s">
        <v>1232</v>
      </c>
      <c r="M15" s="2408" t="s">
        <v>1233</v>
      </c>
      <c r="N15" s="2409"/>
      <c r="O15" s="2408" t="s">
        <v>152</v>
      </c>
      <c r="P15" s="2408" t="s">
        <v>1232</v>
      </c>
      <c r="Q15" s="2408" t="s">
        <v>1233</v>
      </c>
      <c r="R15" s="2409"/>
      <c r="S15" s="2408" t="s">
        <v>1233</v>
      </c>
    </row>
    <row r="16" spans="1:19">
      <c r="A16" s="2408"/>
      <c r="B16" s="2408" t="s">
        <v>1234</v>
      </c>
      <c r="C16" s="2408" t="s">
        <v>1235</v>
      </c>
      <c r="D16" s="2408" t="s">
        <v>1236</v>
      </c>
      <c r="E16" s="2408" t="s">
        <v>1237</v>
      </c>
      <c r="F16" s="2408"/>
      <c r="G16" s="2410" t="s">
        <v>1238</v>
      </c>
      <c r="H16" s="2408" t="s">
        <v>1236</v>
      </c>
      <c r="I16" s="2408" t="s">
        <v>1237</v>
      </c>
      <c r="J16" s="2409"/>
      <c r="K16" s="2408" t="s">
        <v>1239</v>
      </c>
      <c r="L16" s="2408" t="s">
        <v>1236</v>
      </c>
      <c r="M16" s="2408" t="s">
        <v>1237</v>
      </c>
      <c r="N16" s="2409"/>
      <c r="O16" s="2408" t="s">
        <v>1240</v>
      </c>
      <c r="P16" s="2408" t="s">
        <v>1236</v>
      </c>
      <c r="Q16" s="2408" t="s">
        <v>1237</v>
      </c>
      <c r="R16" s="2409"/>
      <c r="S16" s="2408" t="s">
        <v>1237</v>
      </c>
    </row>
    <row r="17" spans="1:19" ht="13.5" thickBot="1">
      <c r="G17" s="538"/>
    </row>
    <row r="18" spans="1:19">
      <c r="A18" s="2412" t="s">
        <v>1241</v>
      </c>
      <c r="B18" s="2413"/>
      <c r="C18" s="529"/>
      <c r="D18" s="530"/>
      <c r="E18" s="531"/>
      <c r="F18" s="531"/>
      <c r="G18" s="531"/>
      <c r="H18" s="530"/>
      <c r="I18" s="531"/>
      <c r="J18" s="2413"/>
      <c r="K18" s="529"/>
      <c r="L18" s="530"/>
      <c r="M18" s="531"/>
      <c r="N18" s="2413"/>
      <c r="O18" s="529"/>
      <c r="P18" s="530"/>
      <c r="Q18" s="531"/>
      <c r="R18" s="2413"/>
      <c r="S18" s="532"/>
    </row>
    <row r="19" spans="1:19">
      <c r="A19" s="2414"/>
      <c r="B19" s="2415"/>
      <c r="C19" s="533"/>
      <c r="D19" s="534"/>
      <c r="E19" s="535"/>
      <c r="F19" s="535"/>
      <c r="G19" s="535"/>
      <c r="H19" s="534"/>
      <c r="I19" s="535"/>
      <c r="J19" s="2415"/>
      <c r="K19" s="533"/>
      <c r="L19" s="534"/>
      <c r="M19" s="535"/>
      <c r="N19" s="2415"/>
      <c r="O19" s="533"/>
      <c r="P19" s="534"/>
      <c r="Q19" s="535"/>
      <c r="R19" s="2415"/>
      <c r="S19" s="536"/>
    </row>
    <row r="20" spans="1:19">
      <c r="B20" s="537">
        <v>350.1</v>
      </c>
      <c r="C20" s="538">
        <v>1.66E-2</v>
      </c>
      <c r="D20" s="539">
        <v>0.36813499999999999</v>
      </c>
      <c r="E20" s="538">
        <f t="shared" ref="E20:E27" si="0">ROUND((C20*D20),6)</f>
        <v>6.1110000000000001E-3</v>
      </c>
      <c r="F20" s="538"/>
      <c r="G20" s="538">
        <v>1.3599999999999999E-2</v>
      </c>
      <c r="H20" s="539">
        <v>0.20404800000000001</v>
      </c>
      <c r="I20" s="538">
        <f t="shared" ref="I20:I27" si="1">ROUND((G20*H20),6)</f>
        <v>2.7750000000000001E-3</v>
      </c>
      <c r="J20" s="2415"/>
      <c r="K20" s="538">
        <v>1.29E-2</v>
      </c>
      <c r="L20" s="539">
        <v>0.39307399999999998</v>
      </c>
      <c r="M20" s="538">
        <f t="shared" ref="M20:M27" si="2">ROUND((K20*L20),6)</f>
        <v>5.071E-3</v>
      </c>
      <c r="N20" s="2415"/>
      <c r="O20" s="538">
        <v>1.8200000000000001E-2</v>
      </c>
      <c r="P20" s="539">
        <v>3.4743000000000003E-2</v>
      </c>
      <c r="Q20" s="538">
        <f t="shared" ref="Q20:Q27" si="3">ROUND((O20*P20),6)</f>
        <v>6.3199999999999997E-4</v>
      </c>
      <c r="R20" s="2415"/>
      <c r="S20" s="540">
        <f t="shared" ref="S20:S28" si="4">ROUND(E20+I20+M20+Q20,4)</f>
        <v>1.46E-2</v>
      </c>
    </row>
    <row r="21" spans="1:19">
      <c r="A21" s="2414"/>
      <c r="B21" s="537">
        <v>352</v>
      </c>
      <c r="C21" s="538">
        <v>1.9099999999999999E-2</v>
      </c>
      <c r="D21" s="539">
        <v>0.36813499999999999</v>
      </c>
      <c r="E21" s="538">
        <f t="shared" si="0"/>
        <v>7.0309999999999999E-3</v>
      </c>
      <c r="F21" s="538"/>
      <c r="G21" s="538">
        <v>1.3899999999999999E-2</v>
      </c>
      <c r="H21" s="539">
        <v>0.20404800000000001</v>
      </c>
      <c r="I21" s="538">
        <f t="shared" si="1"/>
        <v>2.836E-3</v>
      </c>
      <c r="J21" s="2415"/>
      <c r="K21" s="538">
        <v>1.32E-2</v>
      </c>
      <c r="L21" s="539">
        <v>0.39307399999999998</v>
      </c>
      <c r="M21" s="538">
        <f t="shared" si="2"/>
        <v>5.189E-3</v>
      </c>
      <c r="N21" s="2415"/>
      <c r="O21" s="538">
        <v>1.8200000000000001E-2</v>
      </c>
      <c r="P21" s="539">
        <v>3.4743000000000003E-2</v>
      </c>
      <c r="Q21" s="538">
        <f t="shared" si="3"/>
        <v>6.3199999999999997E-4</v>
      </c>
      <c r="R21" s="2415"/>
      <c r="S21" s="540">
        <f t="shared" si="4"/>
        <v>1.5699999999999999E-2</v>
      </c>
    </row>
    <row r="22" spans="1:19">
      <c r="A22" s="2414"/>
      <c r="B22" s="537">
        <v>353</v>
      </c>
      <c r="C22" s="538">
        <v>2.1000000000000001E-2</v>
      </c>
      <c r="D22" s="539">
        <v>0.36813499999999999</v>
      </c>
      <c r="E22" s="538">
        <f t="shared" si="0"/>
        <v>7.731E-3</v>
      </c>
      <c r="F22" s="538"/>
      <c r="G22" s="538">
        <v>1.54E-2</v>
      </c>
      <c r="H22" s="539">
        <v>0.20404800000000001</v>
      </c>
      <c r="I22" s="538">
        <f t="shared" si="1"/>
        <v>3.1419999999999998E-3</v>
      </c>
      <c r="J22" s="2415"/>
      <c r="K22" s="538">
        <v>1.2699999999999999E-2</v>
      </c>
      <c r="L22" s="539">
        <v>0.39307399999999998</v>
      </c>
      <c r="M22" s="538">
        <f t="shared" si="2"/>
        <v>4.9919999999999999E-3</v>
      </c>
      <c r="N22" s="2415"/>
      <c r="O22" s="538">
        <v>1.89E-2</v>
      </c>
      <c r="P22" s="539">
        <v>3.4743000000000003E-2</v>
      </c>
      <c r="Q22" s="538">
        <f t="shared" si="3"/>
        <v>6.5700000000000003E-4</v>
      </c>
      <c r="R22" s="2415"/>
      <c r="S22" s="540">
        <f t="shared" si="4"/>
        <v>1.6500000000000001E-2</v>
      </c>
    </row>
    <row r="23" spans="1:19">
      <c r="A23" s="2414"/>
      <c r="B23" s="537">
        <v>354</v>
      </c>
      <c r="C23" s="538">
        <v>2.7199999999999998E-2</v>
      </c>
      <c r="D23" s="539">
        <v>0.36813499999999999</v>
      </c>
      <c r="E23" s="538">
        <f t="shared" si="0"/>
        <v>1.0012999999999999E-2</v>
      </c>
      <c r="F23" s="538"/>
      <c r="G23" s="538">
        <v>2.29E-2</v>
      </c>
      <c r="H23" s="539">
        <v>0.20404800000000001</v>
      </c>
      <c r="I23" s="538">
        <f t="shared" si="1"/>
        <v>4.6730000000000001E-3</v>
      </c>
      <c r="J23" s="2415"/>
      <c r="K23" s="538">
        <v>1.4E-2</v>
      </c>
      <c r="L23" s="539">
        <v>0.39307399999999998</v>
      </c>
      <c r="M23" s="538">
        <f t="shared" si="2"/>
        <v>5.5030000000000001E-3</v>
      </c>
      <c r="N23" s="2415"/>
      <c r="O23" s="538">
        <v>0.02</v>
      </c>
      <c r="P23" s="539">
        <v>3.4743000000000003E-2</v>
      </c>
      <c r="Q23" s="538">
        <f t="shared" si="3"/>
        <v>6.9499999999999998E-4</v>
      </c>
      <c r="R23" s="2415"/>
      <c r="S23" s="540">
        <f t="shared" si="4"/>
        <v>2.0899999999999998E-2</v>
      </c>
    </row>
    <row r="24" spans="1:19">
      <c r="A24" s="2414"/>
      <c r="B24" s="537">
        <v>355</v>
      </c>
      <c r="C24" s="538">
        <v>3.7199999999999997E-2</v>
      </c>
      <c r="D24" s="539">
        <v>0.36813499999999999</v>
      </c>
      <c r="E24" s="538">
        <f t="shared" si="0"/>
        <v>1.3695000000000001E-2</v>
      </c>
      <c r="F24" s="538"/>
      <c r="G24" s="538">
        <v>3.4599999999999999E-2</v>
      </c>
      <c r="H24" s="539">
        <v>0.20404800000000001</v>
      </c>
      <c r="I24" s="538">
        <f t="shared" si="1"/>
        <v>7.0600000000000003E-3</v>
      </c>
      <c r="J24" s="2415"/>
      <c r="K24" s="538">
        <v>3.1E-2</v>
      </c>
      <c r="L24" s="539">
        <v>0.39307399999999998</v>
      </c>
      <c r="M24" s="538">
        <f t="shared" si="2"/>
        <v>1.2185E-2</v>
      </c>
      <c r="N24" s="2415"/>
      <c r="O24" s="538">
        <v>2.75E-2</v>
      </c>
      <c r="P24" s="539">
        <v>3.4743000000000003E-2</v>
      </c>
      <c r="Q24" s="538">
        <f t="shared" si="3"/>
        <v>9.5500000000000001E-4</v>
      </c>
      <c r="R24" s="2415"/>
      <c r="S24" s="540">
        <f t="shared" si="4"/>
        <v>3.39E-2</v>
      </c>
    </row>
    <row r="25" spans="1:19">
      <c r="A25" s="2414"/>
      <c r="B25" s="537">
        <v>356</v>
      </c>
      <c r="C25" s="538">
        <v>2.63E-2</v>
      </c>
      <c r="D25" s="539">
        <v>0.36813499999999999</v>
      </c>
      <c r="E25" s="538">
        <f t="shared" si="0"/>
        <v>9.6819999999999996E-3</v>
      </c>
      <c r="F25" s="538"/>
      <c r="G25" s="538">
        <v>1.9400000000000001E-2</v>
      </c>
      <c r="H25" s="539">
        <v>0.20404800000000001</v>
      </c>
      <c r="I25" s="538">
        <f t="shared" si="1"/>
        <v>3.9589999999999998E-3</v>
      </c>
      <c r="J25" s="2415"/>
      <c r="K25" s="538">
        <v>1.78E-2</v>
      </c>
      <c r="L25" s="539">
        <v>0.39307399999999998</v>
      </c>
      <c r="M25" s="538">
        <f t="shared" si="2"/>
        <v>6.9969999999999997E-3</v>
      </c>
      <c r="N25" s="2415"/>
      <c r="O25" s="538">
        <v>2.75E-2</v>
      </c>
      <c r="P25" s="539">
        <v>3.4743000000000003E-2</v>
      </c>
      <c r="Q25" s="538">
        <f t="shared" si="3"/>
        <v>9.5500000000000001E-4</v>
      </c>
      <c r="R25" s="2415"/>
      <c r="S25" s="540">
        <f t="shared" si="4"/>
        <v>2.1600000000000001E-2</v>
      </c>
    </row>
    <row r="26" spans="1:19">
      <c r="A26" s="2416"/>
      <c r="B26" s="537">
        <v>357</v>
      </c>
      <c r="C26" s="538">
        <v>1.01E-2</v>
      </c>
      <c r="D26" s="539">
        <v>0.36813499999999999</v>
      </c>
      <c r="E26" s="538">
        <f t="shared" si="0"/>
        <v>3.718E-3</v>
      </c>
      <c r="F26" s="538"/>
      <c r="G26" s="538">
        <v>1.01E-2</v>
      </c>
      <c r="H26" s="539">
        <v>0.20404800000000001</v>
      </c>
      <c r="I26" s="538">
        <f t="shared" si="1"/>
        <v>2.0609999999999999E-3</v>
      </c>
      <c r="J26" s="2415"/>
      <c r="K26" s="538">
        <v>1.78E-2</v>
      </c>
      <c r="L26" s="539">
        <v>0.39307399999999998</v>
      </c>
      <c r="M26" s="538">
        <f t="shared" si="2"/>
        <v>6.9969999999999997E-3</v>
      </c>
      <c r="N26" s="2415"/>
      <c r="O26" s="538">
        <v>1.01E-2</v>
      </c>
      <c r="P26" s="539">
        <v>3.4743000000000003E-2</v>
      </c>
      <c r="Q26" s="538">
        <f t="shared" si="3"/>
        <v>3.5100000000000002E-4</v>
      </c>
      <c r="R26" s="2415"/>
      <c r="S26" s="540">
        <f t="shared" si="4"/>
        <v>1.3100000000000001E-2</v>
      </c>
    </row>
    <row r="27" spans="1:19">
      <c r="A27" s="2416"/>
      <c r="B27" s="537">
        <v>358</v>
      </c>
      <c r="C27" s="538">
        <v>3.7499999999999999E-2</v>
      </c>
      <c r="D27" s="539">
        <v>0.36813499999999999</v>
      </c>
      <c r="E27" s="538">
        <f t="shared" si="0"/>
        <v>1.3805E-2</v>
      </c>
      <c r="F27" s="538"/>
      <c r="G27" s="538">
        <v>1.8800000000000001E-2</v>
      </c>
      <c r="H27" s="539">
        <v>0.20404800000000001</v>
      </c>
      <c r="I27" s="538">
        <f t="shared" si="1"/>
        <v>3.836E-3</v>
      </c>
      <c r="J27" s="2415"/>
      <c r="K27" s="538">
        <v>1.6899999999999998E-2</v>
      </c>
      <c r="L27" s="539">
        <v>0.39307399999999998</v>
      </c>
      <c r="M27" s="538">
        <f t="shared" si="2"/>
        <v>6.6429999999999996E-3</v>
      </c>
      <c r="N27" s="2415"/>
      <c r="O27" s="538">
        <v>1.8800000000000001E-2</v>
      </c>
      <c r="P27" s="539">
        <v>3.4743000000000003E-2</v>
      </c>
      <c r="Q27" s="538">
        <f t="shared" si="3"/>
        <v>6.5300000000000004E-4</v>
      </c>
      <c r="R27" s="2415"/>
      <c r="S27" s="540">
        <f t="shared" si="4"/>
        <v>2.4899999999999999E-2</v>
      </c>
    </row>
    <row r="28" spans="1:19">
      <c r="A28" s="2416"/>
      <c r="B28" s="537">
        <v>359</v>
      </c>
      <c r="C28" s="538">
        <v>1.67E-2</v>
      </c>
      <c r="D28" s="539">
        <v>0.36813499999999999</v>
      </c>
      <c r="E28" s="538">
        <f>ROUND((C28*D28),6)</f>
        <v>6.1479999999999998E-3</v>
      </c>
      <c r="F28" s="538"/>
      <c r="G28" s="538">
        <v>7.7000000000000002E-3</v>
      </c>
      <c r="H28" s="539">
        <v>0.20404800000000001</v>
      </c>
      <c r="I28" s="538">
        <f>ROUND((G28*H28),6)</f>
        <v>1.5709999999999999E-3</v>
      </c>
      <c r="J28" s="2415"/>
      <c r="K28" s="538">
        <v>1.35E-2</v>
      </c>
      <c r="L28" s="539">
        <v>0.39307399999999998</v>
      </c>
      <c r="M28" s="538">
        <f>ROUND((K28*L28),6)</f>
        <v>5.306E-3</v>
      </c>
      <c r="N28" s="2415"/>
      <c r="O28" s="538">
        <v>7.7000000000000002E-3</v>
      </c>
      <c r="P28" s="539">
        <v>3.4743000000000003E-2</v>
      </c>
      <c r="Q28" s="538">
        <f>ROUND((O28*P28),6)</f>
        <v>2.6800000000000001E-4</v>
      </c>
      <c r="R28" s="2415"/>
      <c r="S28" s="540">
        <f t="shared" si="4"/>
        <v>1.3299999999999999E-2</v>
      </c>
    </row>
    <row r="29" spans="1:19" ht="13.5" thickBot="1">
      <c r="A29" s="2417"/>
      <c r="B29" s="2418"/>
      <c r="C29" s="541"/>
      <c r="D29" s="542"/>
      <c r="E29" s="543"/>
      <c r="F29" s="543"/>
      <c r="G29" s="543"/>
      <c r="H29" s="542"/>
      <c r="I29" s="543"/>
      <c r="J29" s="2418"/>
      <c r="K29" s="541"/>
      <c r="L29" s="542"/>
      <c r="M29" s="543"/>
      <c r="N29" s="2418"/>
      <c r="O29" s="541"/>
      <c r="P29" s="542"/>
      <c r="Q29" s="543"/>
      <c r="R29" s="2418"/>
      <c r="S29" s="544"/>
    </row>
    <row r="30" spans="1:19">
      <c r="A30" s="2412" t="s">
        <v>1242</v>
      </c>
      <c r="B30" s="2413"/>
      <c r="C30" s="529"/>
      <c r="D30" s="530"/>
      <c r="E30" s="531"/>
      <c r="F30" s="531"/>
      <c r="G30" s="531"/>
      <c r="H30" s="530"/>
      <c r="I30" s="531"/>
      <c r="J30" s="2413"/>
      <c r="K30" s="529"/>
      <c r="L30" s="530"/>
      <c r="M30" s="531"/>
      <c r="N30" s="2413"/>
      <c r="O30" s="529"/>
      <c r="P30" s="530"/>
      <c r="Q30" s="531"/>
      <c r="R30" s="2413"/>
      <c r="S30" s="532"/>
    </row>
    <row r="31" spans="1:19">
      <c r="A31" s="2414"/>
      <c r="B31" s="2415"/>
      <c r="C31" s="533"/>
      <c r="D31" s="534"/>
      <c r="E31" s="535"/>
      <c r="F31" s="535"/>
      <c r="G31" s="535"/>
      <c r="H31" s="534"/>
      <c r="I31" s="535"/>
      <c r="J31" s="2415"/>
      <c r="K31" s="533"/>
      <c r="L31" s="534"/>
      <c r="M31" s="535"/>
      <c r="N31" s="2415"/>
      <c r="O31" s="533"/>
      <c r="P31" s="534"/>
      <c r="Q31" s="535"/>
      <c r="R31" s="2415"/>
      <c r="S31" s="536"/>
    </row>
    <row r="32" spans="1:19">
      <c r="A32" s="2414"/>
      <c r="B32" s="537">
        <v>390</v>
      </c>
      <c r="C32" s="538">
        <v>2.9899999999999999E-2</v>
      </c>
      <c r="D32" s="539">
        <v>0.370699</v>
      </c>
      <c r="E32" s="535">
        <f>ROUND((C32*D32),6)</f>
        <v>1.1084E-2</v>
      </c>
      <c r="F32" s="535"/>
      <c r="G32" s="538">
        <v>1.7600000000000001E-2</v>
      </c>
      <c r="H32" s="539">
        <v>0.19476499999999999</v>
      </c>
      <c r="I32" s="535">
        <f>ROUND((G32*H32),6)</f>
        <v>3.4280000000000001E-3</v>
      </c>
      <c r="J32" s="2415"/>
      <c r="K32" s="2419">
        <v>1.6199999999999999E-2</v>
      </c>
      <c r="L32" s="539">
        <v>0.34555799999999998</v>
      </c>
      <c r="M32" s="535">
        <f>ROUND((K32*L32),6)</f>
        <v>5.5979999999999997E-3</v>
      </c>
      <c r="N32" s="2415"/>
      <c r="O32" s="2419">
        <v>1.6199999999999999E-2</v>
      </c>
      <c r="P32" s="539">
        <v>8.8978000000000002E-2</v>
      </c>
      <c r="Q32" s="535">
        <f>ROUND((O32*P32),6)</f>
        <v>1.441E-3</v>
      </c>
      <c r="R32" s="2415"/>
      <c r="S32" s="540">
        <f t="shared" ref="S32:S42" si="5">ROUND(E32+I32+M32+Q32,4)</f>
        <v>2.1600000000000001E-2</v>
      </c>
    </row>
    <row r="33" spans="1:19">
      <c r="A33" s="2414"/>
      <c r="B33" s="537">
        <v>391</v>
      </c>
      <c r="C33" s="538">
        <v>3.9E-2</v>
      </c>
      <c r="D33" s="539">
        <v>0.370699</v>
      </c>
      <c r="E33" s="535">
        <f t="shared" ref="E33:E42" si="6">ROUND((C33*D33),6)</f>
        <v>1.4456999999999999E-2</v>
      </c>
      <c r="F33" s="535"/>
      <c r="G33" s="538">
        <v>3.3300000000000003E-2</v>
      </c>
      <c r="H33" s="539">
        <v>0.19476499999999999</v>
      </c>
      <c r="I33" s="535">
        <f t="shared" ref="I33:I42" si="7">ROUND((G33*H33),6)</f>
        <v>6.4859999999999996E-3</v>
      </c>
      <c r="J33" s="2415"/>
      <c r="K33" s="2419">
        <v>4.3200000000000002E-2</v>
      </c>
      <c r="L33" s="539">
        <v>0.34555799999999998</v>
      </c>
      <c r="M33" s="535">
        <f t="shared" ref="M33:M41" si="8">ROUND((K33*L33),6)</f>
        <v>1.4928E-2</v>
      </c>
      <c r="N33" s="2415"/>
      <c r="O33" s="2419">
        <v>4.3200000000000002E-2</v>
      </c>
      <c r="P33" s="539">
        <v>8.8978000000000002E-2</v>
      </c>
      <c r="Q33" s="535">
        <f t="shared" ref="Q33:Q42" si="9">ROUND((O33*P33),6)</f>
        <v>3.8440000000000002E-3</v>
      </c>
      <c r="R33" s="2415"/>
      <c r="S33" s="540">
        <f t="shared" si="5"/>
        <v>3.9699999999999999E-2</v>
      </c>
    </row>
    <row r="34" spans="1:19">
      <c r="A34" s="2414"/>
      <c r="B34" s="537">
        <v>391.1</v>
      </c>
      <c r="C34" s="538">
        <v>0.2084</v>
      </c>
      <c r="D34" s="539">
        <v>0.370699</v>
      </c>
      <c r="E34" s="535">
        <f>ROUND((C34*D34),6)</f>
        <v>7.7254000000000003E-2</v>
      </c>
      <c r="F34" s="535"/>
      <c r="G34" s="538">
        <v>0.1429</v>
      </c>
      <c r="H34" s="539">
        <v>0.19476499999999999</v>
      </c>
      <c r="I34" s="535">
        <f>ROUND((G34*H34),6)</f>
        <v>2.7831999999999999E-2</v>
      </c>
      <c r="J34" s="2415"/>
      <c r="K34" s="2419">
        <v>0.1069</v>
      </c>
      <c r="L34" s="539">
        <v>0.34555799999999998</v>
      </c>
      <c r="M34" s="535">
        <f>ROUND((K34*L34),6)</f>
        <v>3.6940000000000001E-2</v>
      </c>
      <c r="N34" s="2415"/>
      <c r="O34" s="2419">
        <v>0.1069</v>
      </c>
      <c r="P34" s="539">
        <v>8.8978000000000002E-2</v>
      </c>
      <c r="Q34" s="535">
        <f>ROUND((O34*P34),6)</f>
        <v>9.5119999999999996E-3</v>
      </c>
      <c r="R34" s="2415"/>
      <c r="S34" s="540">
        <f t="shared" si="5"/>
        <v>0.1515</v>
      </c>
    </row>
    <row r="35" spans="1:19">
      <c r="A35" s="2420"/>
      <c r="B35" s="537">
        <v>392</v>
      </c>
      <c r="C35" s="538">
        <v>4.5999999999999999E-2</v>
      </c>
      <c r="D35" s="539">
        <v>0.370699</v>
      </c>
      <c r="E35" s="535">
        <f t="shared" si="6"/>
        <v>1.7052000000000001E-2</v>
      </c>
      <c r="F35" s="535"/>
      <c r="G35" s="538">
        <v>4.5999999999999999E-2</v>
      </c>
      <c r="H35" s="539">
        <v>0.19476499999999999</v>
      </c>
      <c r="I35" s="535">
        <f t="shared" si="7"/>
        <v>8.9589999999999999E-3</v>
      </c>
      <c r="J35" s="2415"/>
      <c r="K35" s="2419">
        <v>1.8200000000000001E-2</v>
      </c>
      <c r="L35" s="539">
        <v>0.34555799999999998</v>
      </c>
      <c r="M35" s="535">
        <f t="shared" si="8"/>
        <v>6.2890000000000003E-3</v>
      </c>
      <c r="N35" s="2415"/>
      <c r="O35" s="2419">
        <v>1.8200000000000001E-2</v>
      </c>
      <c r="P35" s="539">
        <v>8.8978000000000002E-2</v>
      </c>
      <c r="Q35" s="535">
        <f t="shared" si="9"/>
        <v>1.619E-3</v>
      </c>
      <c r="R35" s="2415"/>
      <c r="S35" s="540">
        <f t="shared" si="5"/>
        <v>3.39E-2</v>
      </c>
    </row>
    <row r="36" spans="1:19">
      <c r="A36" s="2414"/>
      <c r="B36" s="537">
        <v>393</v>
      </c>
      <c r="C36" s="538">
        <v>3.6600000000000001E-2</v>
      </c>
      <c r="D36" s="539">
        <v>0.370699</v>
      </c>
      <c r="E36" s="535">
        <f t="shared" si="6"/>
        <v>1.3568E-2</v>
      </c>
      <c r="F36" s="535"/>
      <c r="G36" s="538">
        <v>3.4000000000000002E-2</v>
      </c>
      <c r="H36" s="539">
        <v>0.19476499999999999</v>
      </c>
      <c r="I36" s="535">
        <f t="shared" si="7"/>
        <v>6.6220000000000003E-3</v>
      </c>
      <c r="J36" s="2415"/>
      <c r="K36" s="2419">
        <v>3.9399999999999998E-2</v>
      </c>
      <c r="L36" s="539">
        <v>0.34555799999999998</v>
      </c>
      <c r="M36" s="535">
        <f t="shared" si="8"/>
        <v>1.3615E-2</v>
      </c>
      <c r="N36" s="2415"/>
      <c r="O36" s="2419">
        <v>3.9399999999999998E-2</v>
      </c>
      <c r="P36" s="539">
        <v>8.8978000000000002E-2</v>
      </c>
      <c r="Q36" s="535">
        <f t="shared" si="9"/>
        <v>3.506E-3</v>
      </c>
      <c r="R36" s="2415"/>
      <c r="S36" s="540">
        <f t="shared" si="5"/>
        <v>3.73E-2</v>
      </c>
    </row>
    <row r="37" spans="1:19">
      <c r="A37" s="2414"/>
      <c r="B37" s="537">
        <v>394</v>
      </c>
      <c r="C37" s="538">
        <v>4.1399999999999999E-2</v>
      </c>
      <c r="D37" s="539">
        <v>0.370699</v>
      </c>
      <c r="E37" s="535">
        <f t="shared" si="6"/>
        <v>1.5347E-2</v>
      </c>
      <c r="F37" s="535"/>
      <c r="G37" s="538">
        <v>2.86E-2</v>
      </c>
      <c r="H37" s="539">
        <v>0.19476499999999999</v>
      </c>
      <c r="I37" s="535">
        <f t="shared" si="7"/>
        <v>5.5700000000000003E-3</v>
      </c>
      <c r="J37" s="2415"/>
      <c r="K37" s="2419">
        <v>3.0800000000000001E-2</v>
      </c>
      <c r="L37" s="539">
        <v>0.34555799999999998</v>
      </c>
      <c r="M37" s="535">
        <f t="shared" si="8"/>
        <v>1.0643E-2</v>
      </c>
      <c r="N37" s="2415"/>
      <c r="O37" s="2419">
        <v>3.0800000000000001E-2</v>
      </c>
      <c r="P37" s="539">
        <v>8.8978000000000002E-2</v>
      </c>
      <c r="Q37" s="535">
        <f t="shared" si="9"/>
        <v>2.7409999999999999E-3</v>
      </c>
      <c r="R37" s="2415"/>
      <c r="S37" s="540">
        <f t="shared" si="5"/>
        <v>3.4299999999999997E-2</v>
      </c>
    </row>
    <row r="38" spans="1:19">
      <c r="A38" s="2414"/>
      <c r="B38" s="537">
        <v>395</v>
      </c>
      <c r="C38" s="538">
        <v>3.7999999999999999E-2</v>
      </c>
      <c r="D38" s="539">
        <v>0.370699</v>
      </c>
      <c r="E38" s="535">
        <f t="shared" si="6"/>
        <v>1.4087000000000001E-2</v>
      </c>
      <c r="F38" s="535"/>
      <c r="G38" s="538">
        <v>2.86E-2</v>
      </c>
      <c r="H38" s="539">
        <v>0.19476499999999999</v>
      </c>
      <c r="I38" s="535">
        <f t="shared" si="7"/>
        <v>5.5700000000000003E-3</v>
      </c>
      <c r="J38" s="2415"/>
      <c r="K38" s="2419">
        <v>1.52E-2</v>
      </c>
      <c r="L38" s="539">
        <v>0.34555799999999998</v>
      </c>
      <c r="M38" s="535">
        <f t="shared" si="8"/>
        <v>5.2519999999999997E-3</v>
      </c>
      <c r="N38" s="2415"/>
      <c r="O38" s="2419">
        <v>1.52E-2</v>
      </c>
      <c r="P38" s="539">
        <v>8.8978000000000002E-2</v>
      </c>
      <c r="Q38" s="535">
        <f t="shared" si="9"/>
        <v>1.3519999999999999E-3</v>
      </c>
      <c r="R38" s="2415"/>
      <c r="S38" s="540">
        <f t="shared" si="5"/>
        <v>2.63E-2</v>
      </c>
    </row>
    <row r="39" spans="1:19">
      <c r="A39" s="2414"/>
      <c r="B39" s="537">
        <v>396</v>
      </c>
      <c r="C39" s="538">
        <v>5.0599999999999999E-2</v>
      </c>
      <c r="D39" s="539">
        <v>0.370699</v>
      </c>
      <c r="E39" s="535">
        <f t="shared" si="6"/>
        <v>1.8756999999999999E-2</v>
      </c>
      <c r="F39" s="535"/>
      <c r="G39" s="538">
        <v>0.05</v>
      </c>
      <c r="H39" s="539">
        <v>0.19476499999999999</v>
      </c>
      <c r="I39" s="535">
        <f t="shared" si="7"/>
        <v>9.7380000000000001E-3</v>
      </c>
      <c r="J39" s="2415"/>
      <c r="K39" s="2419">
        <v>5.5300000000000002E-2</v>
      </c>
      <c r="L39" s="539">
        <v>0.34555799999999998</v>
      </c>
      <c r="M39" s="535">
        <f t="shared" si="8"/>
        <v>1.9109000000000001E-2</v>
      </c>
      <c r="N39" s="2415"/>
      <c r="O39" s="2419">
        <v>5.5300000000000002E-2</v>
      </c>
      <c r="P39" s="539">
        <v>8.8978000000000002E-2</v>
      </c>
      <c r="Q39" s="535">
        <f t="shared" si="9"/>
        <v>4.9199999999999999E-3</v>
      </c>
      <c r="R39" s="2415"/>
      <c r="S39" s="540">
        <f t="shared" si="5"/>
        <v>5.2499999999999998E-2</v>
      </c>
    </row>
    <row r="40" spans="1:19">
      <c r="A40" s="2414"/>
      <c r="B40" s="537">
        <v>397</v>
      </c>
      <c r="C40" s="538">
        <v>7.2300000000000003E-2</v>
      </c>
      <c r="D40" s="539">
        <v>0.370699</v>
      </c>
      <c r="E40" s="535">
        <f t="shared" si="6"/>
        <v>2.6801999999999999E-2</v>
      </c>
      <c r="F40" s="535"/>
      <c r="G40" s="538">
        <v>4.7500000000000001E-2</v>
      </c>
      <c r="H40" s="539">
        <v>0.19476499999999999</v>
      </c>
      <c r="I40" s="535">
        <f t="shared" si="7"/>
        <v>9.2510000000000005E-3</v>
      </c>
      <c r="J40" s="2415"/>
      <c r="K40" s="2419">
        <v>8.7900000000000006E-2</v>
      </c>
      <c r="L40" s="539">
        <v>0.34555799999999998</v>
      </c>
      <c r="M40" s="535">
        <f t="shared" si="8"/>
        <v>3.0374999999999999E-2</v>
      </c>
      <c r="N40" s="2415"/>
      <c r="O40" s="2419">
        <v>8.7900000000000006E-2</v>
      </c>
      <c r="P40" s="539">
        <v>8.8978000000000002E-2</v>
      </c>
      <c r="Q40" s="535">
        <f t="shared" si="9"/>
        <v>7.8209999999999998E-3</v>
      </c>
      <c r="R40" s="2415"/>
      <c r="S40" s="540">
        <f t="shared" si="5"/>
        <v>7.4200000000000002E-2</v>
      </c>
    </row>
    <row r="41" spans="1:19">
      <c r="A41" s="2414"/>
      <c r="B41" s="537">
        <v>398</v>
      </c>
      <c r="C41" s="538">
        <v>6.3200000000000006E-2</v>
      </c>
      <c r="D41" s="539">
        <v>0.370699</v>
      </c>
      <c r="E41" s="535">
        <f t="shared" si="6"/>
        <v>2.3428000000000001E-2</v>
      </c>
      <c r="F41" s="535"/>
      <c r="G41" s="538">
        <v>0.05</v>
      </c>
      <c r="H41" s="539">
        <v>0.19476499999999999</v>
      </c>
      <c r="I41" s="535">
        <f t="shared" si="7"/>
        <v>9.7380000000000001E-3</v>
      </c>
      <c r="J41" s="2415"/>
      <c r="K41" s="2419">
        <v>6.3200000000000006E-2</v>
      </c>
      <c r="L41" s="539">
        <v>0.34555799999999998</v>
      </c>
      <c r="M41" s="535">
        <f t="shared" si="8"/>
        <v>2.1839000000000001E-2</v>
      </c>
      <c r="N41" s="2415"/>
      <c r="O41" s="2419">
        <v>6.3200000000000006E-2</v>
      </c>
      <c r="P41" s="539">
        <v>8.8978000000000002E-2</v>
      </c>
      <c r="Q41" s="535">
        <f t="shared" si="9"/>
        <v>5.6230000000000004E-3</v>
      </c>
      <c r="R41" s="2415"/>
      <c r="S41" s="540">
        <f t="shared" si="5"/>
        <v>6.0600000000000001E-2</v>
      </c>
    </row>
    <row r="42" spans="1:19">
      <c r="A42" s="2416"/>
      <c r="B42" s="537">
        <v>399.3</v>
      </c>
      <c r="C42" s="538">
        <v>1.89E-2</v>
      </c>
      <c r="D42" s="539">
        <v>0.370699</v>
      </c>
      <c r="E42" s="535">
        <f t="shared" si="6"/>
        <v>7.0060000000000001E-3</v>
      </c>
      <c r="F42" s="535"/>
      <c r="G42" s="538">
        <v>6.4000000000000003E-3</v>
      </c>
      <c r="H42" s="539">
        <v>0.19476499999999999</v>
      </c>
      <c r="I42" s="535">
        <f t="shared" si="7"/>
        <v>1.2459999999999999E-3</v>
      </c>
      <c r="J42" s="2415"/>
      <c r="K42" s="2419">
        <v>1.41E-2</v>
      </c>
      <c r="L42" s="539">
        <v>0.34555799999999998</v>
      </c>
      <c r="M42" s="535">
        <f>ROUND((K42*L42),6)</f>
        <v>4.8719999999999996E-3</v>
      </c>
      <c r="N42" s="2415"/>
      <c r="O42" s="2419">
        <v>1.41E-2</v>
      </c>
      <c r="P42" s="539">
        <v>8.8978000000000002E-2</v>
      </c>
      <c r="Q42" s="535">
        <f t="shared" si="9"/>
        <v>1.255E-3</v>
      </c>
      <c r="R42" s="2415"/>
      <c r="S42" s="540">
        <f t="shared" si="5"/>
        <v>1.44E-2</v>
      </c>
    </row>
    <row r="43" spans="1:19" ht="15.75" thickBot="1">
      <c r="A43" s="2421"/>
      <c r="B43" s="2418"/>
      <c r="C43" s="541"/>
      <c r="D43" s="542"/>
      <c r="E43" s="543"/>
      <c r="F43" s="543"/>
      <c r="G43" s="543"/>
      <c r="H43" s="542"/>
      <c r="I43" s="543"/>
      <c r="J43" s="2418"/>
      <c r="K43" s="541"/>
      <c r="L43" s="542"/>
      <c r="M43" s="543"/>
      <c r="N43" s="2418"/>
      <c r="O43" s="541"/>
      <c r="P43" s="542"/>
      <c r="Q43" s="543"/>
      <c r="R43" s="2418"/>
      <c r="S43" s="544"/>
    </row>
    <row r="44" spans="1:19">
      <c r="A44" s="2412" t="s">
        <v>1370</v>
      </c>
      <c r="B44" s="2413"/>
      <c r="C44" s="529"/>
      <c r="D44" s="530"/>
      <c r="E44" s="531"/>
      <c r="F44" s="531"/>
      <c r="G44" s="531"/>
      <c r="H44" s="530"/>
      <c r="I44" s="531"/>
      <c r="J44" s="2413"/>
      <c r="K44" s="529"/>
      <c r="L44" s="530"/>
      <c r="M44" s="531"/>
      <c r="N44" s="2413"/>
      <c r="O44" s="529"/>
      <c r="P44" s="530"/>
      <c r="Q44" s="531"/>
      <c r="R44" s="2413"/>
      <c r="S44" s="532"/>
    </row>
    <row r="45" spans="1:19">
      <c r="A45" s="2414"/>
      <c r="B45" s="2415"/>
      <c r="C45" s="533"/>
      <c r="D45" s="534"/>
      <c r="E45" s="535"/>
      <c r="F45" s="535"/>
      <c r="G45" s="535"/>
      <c r="H45" s="534"/>
      <c r="I45" s="535"/>
      <c r="J45" s="2415"/>
      <c r="K45" s="533"/>
      <c r="L45" s="534"/>
      <c r="M45" s="535"/>
      <c r="N45" s="2415"/>
      <c r="O45" s="533"/>
      <c r="P45" s="534"/>
      <c r="Q45" s="535"/>
      <c r="R45" s="2415"/>
      <c r="S45" s="536"/>
    </row>
    <row r="46" spans="1:19">
      <c r="A46" s="2414"/>
      <c r="B46" s="537">
        <v>303</v>
      </c>
      <c r="C46" s="538">
        <v>0.2</v>
      </c>
      <c r="D46" s="539">
        <v>0.370699</v>
      </c>
      <c r="E46" s="535">
        <f>ROUND((C46*D46),6)</f>
        <v>7.4139999999999998E-2</v>
      </c>
      <c r="F46" s="535"/>
      <c r="G46" s="538">
        <v>0.2</v>
      </c>
      <c r="H46" s="539">
        <v>0.19476499999999999</v>
      </c>
      <c r="I46" s="535">
        <f>ROUND((G46*H46),6)</f>
        <v>3.8953000000000002E-2</v>
      </c>
      <c r="J46" s="2415"/>
      <c r="K46" s="2419">
        <v>0.2</v>
      </c>
      <c r="L46" s="539">
        <v>0.34555799999999998</v>
      </c>
      <c r="M46" s="535">
        <f>ROUND((K46*L46),6)</f>
        <v>6.9112000000000007E-2</v>
      </c>
      <c r="N46" s="2415"/>
      <c r="O46" s="2419">
        <v>0.2</v>
      </c>
      <c r="P46" s="539">
        <v>8.8978000000000002E-2</v>
      </c>
      <c r="Q46" s="535">
        <f>ROUND((O46*P46),6)</f>
        <v>1.7795999999999999E-2</v>
      </c>
      <c r="R46" s="2415"/>
      <c r="S46" s="540">
        <f t="shared" ref="S46" si="10">ROUND(E46+I46+M46+Q46,4)</f>
        <v>0.2</v>
      </c>
    </row>
    <row r="48" spans="1:19">
      <c r="A48" s="2591" t="s">
        <v>1243</v>
      </c>
      <c r="B48" s="2591"/>
      <c r="C48" s="2591"/>
      <c r="D48" s="2591"/>
      <c r="E48" s="2591"/>
      <c r="F48" s="2591"/>
      <c r="G48" s="2591"/>
      <c r="H48" s="2591"/>
      <c r="I48" s="2591"/>
      <c r="J48" s="2591"/>
      <c r="K48" s="2591"/>
      <c r="L48" s="2591"/>
      <c r="M48" s="2591"/>
      <c r="N48" s="2591"/>
      <c r="O48" s="2591"/>
      <c r="P48" s="2591"/>
      <c r="Q48" s="2591"/>
      <c r="R48" s="2591"/>
      <c r="S48" s="2591"/>
    </row>
    <row r="49" spans="1:19">
      <c r="A49" s="2591" t="s">
        <v>1244</v>
      </c>
      <c r="B49" s="2591"/>
      <c r="C49" s="2591"/>
      <c r="D49" s="2591"/>
      <c r="E49" s="2591"/>
      <c r="F49" s="2591"/>
      <c r="G49" s="2591"/>
      <c r="H49" s="2591"/>
      <c r="I49" s="2591"/>
      <c r="J49" s="2591"/>
      <c r="K49" s="2591"/>
      <c r="L49" s="2591"/>
      <c r="M49" s="2591"/>
      <c r="N49" s="2591"/>
      <c r="O49" s="2591"/>
      <c r="P49" s="2591"/>
      <c r="Q49" s="2591"/>
      <c r="R49" s="2591"/>
      <c r="S49" s="2591"/>
    </row>
    <row r="50" spans="1:19">
      <c r="A50" s="2591" t="s">
        <v>1245</v>
      </c>
      <c r="B50" s="2591"/>
      <c r="C50" s="2591"/>
      <c r="D50" s="2591"/>
      <c r="E50" s="2591"/>
      <c r="F50" s="2591"/>
      <c r="G50" s="2591"/>
      <c r="H50" s="2591"/>
      <c r="I50" s="2591"/>
      <c r="J50" s="2591"/>
      <c r="K50" s="2591"/>
      <c r="L50" s="2591"/>
      <c r="M50" s="2591"/>
      <c r="N50" s="2591"/>
      <c r="O50" s="2591"/>
      <c r="P50" s="2591"/>
      <c r="Q50" s="2591"/>
      <c r="R50" s="2591"/>
      <c r="S50" s="2591"/>
    </row>
    <row r="51" spans="1:19">
      <c r="A51" s="2591" t="s">
        <v>1246</v>
      </c>
      <c r="B51" s="2591"/>
      <c r="C51" s="2591"/>
      <c r="D51" s="2591"/>
      <c r="E51" s="2591"/>
      <c r="F51" s="2591"/>
      <c r="G51" s="2591"/>
      <c r="H51" s="2591"/>
      <c r="I51" s="2591"/>
      <c r="J51" s="2591"/>
      <c r="K51" s="2591"/>
      <c r="L51" s="2591"/>
      <c r="M51" s="2591"/>
      <c r="N51" s="2591"/>
      <c r="O51" s="2591"/>
      <c r="P51" s="2591"/>
      <c r="Q51" s="2591"/>
      <c r="R51" s="2591"/>
      <c r="S51" s="2591"/>
    </row>
    <row r="53" spans="1:19">
      <c r="A53" s="2591" t="s">
        <v>1368</v>
      </c>
      <c r="B53" s="2591"/>
      <c r="C53" s="2591"/>
      <c r="D53" s="2591"/>
      <c r="E53" s="2591"/>
      <c r="F53" s="2591"/>
      <c r="G53" s="2591"/>
      <c r="H53" s="2591"/>
      <c r="I53" s="2591"/>
      <c r="J53" s="2591"/>
      <c r="K53" s="2591"/>
      <c r="L53" s="2591"/>
      <c r="M53" s="2591"/>
      <c r="N53" s="2591"/>
      <c r="O53" s="2591"/>
      <c r="P53" s="2591"/>
      <c r="Q53" s="2591"/>
      <c r="R53" s="2591"/>
      <c r="S53" s="2591"/>
    </row>
  </sheetData>
  <mergeCells count="16">
    <mergeCell ref="A9:S9"/>
    <mergeCell ref="A2:S2"/>
    <mergeCell ref="A3:S3"/>
    <mergeCell ref="A4:S4"/>
    <mergeCell ref="A5:S5"/>
    <mergeCell ref="A8:S8"/>
    <mergeCell ref="A53:S53"/>
    <mergeCell ref="A49:S49"/>
    <mergeCell ref="A50:S50"/>
    <mergeCell ref="A51:S51"/>
    <mergeCell ref="A10:S10"/>
    <mergeCell ref="C12:E12"/>
    <mergeCell ref="G12:I12"/>
    <mergeCell ref="K12:M12"/>
    <mergeCell ref="O12:Q12"/>
    <mergeCell ref="A48:S48"/>
  </mergeCells>
  <pageMargins left="0.7" right="0.7" top="0.75" bottom="0.75" header="0.3" footer="0.3"/>
  <pageSetup scale="67" fitToHeight="0" orientation="landscape" r:id="rId1"/>
  <headerFooter>
    <oddHeader>&amp;RAEP - SPP Formula Rate
TCOS - WS T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02"/>
  <sheetViews>
    <sheetView zoomScale="60" zoomScaleNormal="60" zoomScaleSheetLayoutView="75" zoomScalePageLayoutView="70" workbookViewId="0">
      <selection activeCell="E13" sqref="E13"/>
    </sheetView>
  </sheetViews>
  <sheetFormatPr defaultColWidth="11.42578125" defaultRowHeight="18"/>
  <cols>
    <col min="1" max="1" width="4.7109375" style="662" customWidth="1"/>
    <col min="2" max="2" width="7.85546875" style="778" customWidth="1"/>
    <col min="3" max="3" width="1.85546875" style="662" customWidth="1"/>
    <col min="4" max="4" width="63.28515625" style="662" customWidth="1"/>
    <col min="5" max="5" width="37.28515625" style="662" customWidth="1"/>
    <col min="6" max="6" width="26.140625" style="662" customWidth="1"/>
    <col min="7" max="7" width="20.7109375" style="662" customWidth="1"/>
    <col min="8" max="8" width="18.85546875" style="662" customWidth="1"/>
    <col min="9" max="9" width="9.85546875" style="662" customWidth="1"/>
    <col min="10" max="10" width="21.85546875" style="662" bestFit="1" customWidth="1"/>
    <col min="11" max="11" width="4.7109375" style="662" customWidth="1"/>
    <col min="12" max="12" width="27.140625" style="662" customWidth="1"/>
    <col min="13" max="13" width="19.42578125" style="2599" customWidth="1"/>
    <col min="14" max="14" width="14.28515625" style="2599" customWidth="1"/>
    <col min="15" max="15" width="3.140625" style="662" customWidth="1"/>
    <col min="16" max="16" width="21.85546875" style="662" customWidth="1"/>
    <col min="17" max="17" width="11.42578125" style="662" customWidth="1"/>
    <col min="18" max="18" width="20.5703125" style="662" bestFit="1" customWidth="1"/>
    <col min="19" max="16384" width="11.42578125" style="662"/>
  </cols>
  <sheetData>
    <row r="2" spans="2:16">
      <c r="D2" s="779"/>
      <c r="E2" s="780"/>
      <c r="F2" s="780"/>
      <c r="G2" s="781"/>
      <c r="I2" s="782"/>
      <c r="J2" s="782"/>
      <c r="K2" s="782"/>
      <c r="N2" s="2600">
        <v>2018</v>
      </c>
      <c r="P2" s="662" t="s">
        <v>420</v>
      </c>
    </row>
    <row r="3" spans="2:16">
      <c r="N3" s="2601"/>
    </row>
    <row r="4" spans="2:16">
      <c r="D4" s="783"/>
      <c r="E4" s="783"/>
      <c r="F4" s="784" t="s">
        <v>878</v>
      </c>
      <c r="G4" s="785"/>
      <c r="H4" s="785"/>
      <c r="J4" s="783"/>
      <c r="K4" s="655"/>
      <c r="L4" s="655"/>
      <c r="M4" s="2602"/>
    </row>
    <row r="5" spans="2:16">
      <c r="D5" s="783"/>
      <c r="E5" s="786"/>
      <c r="F5" s="784" t="s">
        <v>50</v>
      </c>
      <c r="G5" s="785"/>
      <c r="H5" s="785"/>
      <c r="J5" s="786"/>
      <c r="K5" s="655"/>
      <c r="L5" s="655"/>
      <c r="M5" s="2602"/>
    </row>
    <row r="6" spans="2:16">
      <c r="D6" s="655"/>
      <c r="E6" s="655"/>
      <c r="F6" s="787" t="str">
        <f>"Utilizing Actual / Projected Cost Data for the "&amp;N2&amp;" Rate Year"</f>
        <v>Utilizing Actual / Projected Cost Data for the 2018 Rate Year</v>
      </c>
      <c r="G6" s="785"/>
      <c r="H6" s="785"/>
      <c r="J6" s="655"/>
      <c r="K6" s="655"/>
      <c r="L6" s="655"/>
      <c r="M6" s="2602"/>
    </row>
    <row r="7" spans="2:16">
      <c r="B7" s="788"/>
      <c r="C7" s="789"/>
      <c r="D7" s="655"/>
      <c r="H7" s="790"/>
      <c r="I7" s="790"/>
      <c r="J7" s="790"/>
      <c r="K7" s="790"/>
      <c r="L7" s="655"/>
      <c r="M7" s="2603"/>
    </row>
    <row r="8" spans="2:16">
      <c r="B8" s="788"/>
      <c r="C8" s="789"/>
      <c r="D8" s="791"/>
      <c r="E8" s="655"/>
      <c r="F8" s="792" t="s">
        <v>1018</v>
      </c>
      <c r="G8" s="793"/>
      <c r="H8" s="655"/>
      <c r="I8" s="655"/>
      <c r="J8" s="655"/>
      <c r="K8" s="655"/>
      <c r="L8" s="791"/>
      <c r="M8" s="2202"/>
      <c r="N8" s="2202"/>
    </row>
    <row r="9" spans="2:16">
      <c r="B9" s="788"/>
      <c r="C9" s="789"/>
      <c r="D9" s="655"/>
      <c r="E9" s="655"/>
      <c r="F9" s="794"/>
      <c r="G9" s="793"/>
      <c r="H9" s="655"/>
      <c r="I9" s="655"/>
      <c r="J9" s="655"/>
      <c r="K9" s="655"/>
      <c r="L9" s="791"/>
      <c r="M9" s="2202"/>
      <c r="N9" s="2202"/>
    </row>
    <row r="10" spans="2:16">
      <c r="B10" s="788" t="s">
        <v>310</v>
      </c>
      <c r="C10" s="789"/>
      <c r="D10" s="655"/>
      <c r="E10" s="655"/>
      <c r="F10" s="655"/>
      <c r="G10" s="793"/>
      <c r="H10" s="655"/>
      <c r="I10" s="655"/>
      <c r="J10" s="655"/>
      <c r="K10" s="655"/>
      <c r="L10" s="789" t="s">
        <v>257</v>
      </c>
      <c r="M10" s="2202"/>
      <c r="N10" s="2202"/>
    </row>
    <row r="11" spans="2:16" ht="18.75" thickBot="1">
      <c r="B11" s="795" t="s">
        <v>259</v>
      </c>
      <c r="C11" s="796"/>
      <c r="D11" s="655"/>
      <c r="E11" s="796"/>
      <c r="F11" s="655"/>
      <c r="G11" s="655"/>
      <c r="H11" s="655"/>
      <c r="I11" s="655"/>
      <c r="J11" s="655"/>
      <c r="K11" s="655"/>
      <c r="L11" s="797" t="s">
        <v>311</v>
      </c>
      <c r="M11" s="2202"/>
      <c r="N11" s="2202"/>
    </row>
    <row r="12" spans="2:16">
      <c r="B12" s="788">
        <v>1</v>
      </c>
      <c r="C12" s="789"/>
      <c r="D12" s="798" t="s">
        <v>253</v>
      </c>
      <c r="E12" s="655" t="str">
        <f>"(ln "&amp;B193&amp;")"</f>
        <v>(ln 117)</v>
      </c>
      <c r="F12" s="655"/>
      <c r="G12" s="799"/>
      <c r="H12" s="800"/>
      <c r="I12" s="655"/>
      <c r="J12" s="655"/>
      <c r="K12" s="655"/>
      <c r="L12" s="657">
        <f>+L193</f>
        <v>83018102.281065762</v>
      </c>
      <c r="M12" s="2604">
        <v>82496506.965986535</v>
      </c>
      <c r="N12" s="2605">
        <f>+L12-M12</f>
        <v>521595.31507922709</v>
      </c>
    </row>
    <row r="13" spans="2:16" ht="18.75" thickBot="1">
      <c r="B13" s="788"/>
      <c r="C13" s="789"/>
      <c r="E13" s="801"/>
      <c r="F13" s="786"/>
      <c r="G13" s="797" t="s">
        <v>260</v>
      </c>
      <c r="H13" s="786"/>
      <c r="I13" s="802" t="s">
        <v>261</v>
      </c>
      <c r="J13" s="802"/>
      <c r="K13" s="655"/>
      <c r="L13" s="799"/>
      <c r="M13" s="2604"/>
      <c r="N13" s="2605">
        <f t="shared" ref="N13:N76" si="0">+L13-M13</f>
        <v>0</v>
      </c>
    </row>
    <row r="14" spans="2:16">
      <c r="B14" s="788">
        <f>+B12+1</f>
        <v>2</v>
      </c>
      <c r="C14" s="789"/>
      <c r="D14" s="803" t="s">
        <v>309</v>
      </c>
      <c r="E14" s="801" t="s">
        <v>858</v>
      </c>
      <c r="F14" s="786"/>
      <c r="G14" s="804">
        <f>+'PSO WS H Rev Credits'!M52</f>
        <v>7362221.3800000036</v>
      </c>
      <c r="H14" s="786"/>
      <c r="I14" s="805" t="s">
        <v>271</v>
      </c>
      <c r="J14" s="806">
        <v>1</v>
      </c>
      <c r="K14" s="786"/>
      <c r="L14" s="807">
        <f>+J14*G14</f>
        <v>7362221.3800000036</v>
      </c>
      <c r="M14" s="2604">
        <v>7362221.3800000036</v>
      </c>
      <c r="N14" s="2605">
        <f t="shared" si="0"/>
        <v>0</v>
      </c>
    </row>
    <row r="15" spans="2:16">
      <c r="B15" s="788"/>
      <c r="C15" s="789"/>
      <c r="D15" s="803"/>
      <c r="E15" s="801"/>
      <c r="F15" s="786"/>
      <c r="G15" s="804"/>
      <c r="H15" s="786"/>
      <c r="I15" s="805"/>
      <c r="J15" s="806"/>
      <c r="K15" s="786"/>
      <c r="L15" s="807"/>
      <c r="M15" s="2604"/>
      <c r="N15" s="2605">
        <f t="shared" si="0"/>
        <v>0</v>
      </c>
    </row>
    <row r="16" spans="2:16">
      <c r="B16" s="788">
        <f>+B14+1</f>
        <v>3</v>
      </c>
      <c r="C16" s="789"/>
      <c r="D16" s="798" t="s">
        <v>533</v>
      </c>
      <c r="E16" s="801" t="s">
        <v>881</v>
      </c>
      <c r="F16" s="786"/>
      <c r="G16" s="808"/>
      <c r="H16" s="786"/>
      <c r="I16" s="805"/>
      <c r="J16" s="806"/>
      <c r="K16" s="655"/>
      <c r="L16" s="808">
        <f>+'PSO WS B - Facility credits'!D9</f>
        <v>0</v>
      </c>
      <c r="M16" s="2604">
        <v>0</v>
      </c>
      <c r="N16" s="2605">
        <f t="shared" si="0"/>
        <v>0</v>
      </c>
    </row>
    <row r="17" spans="2:14">
      <c r="B17" s="788"/>
      <c r="C17" s="789"/>
      <c r="E17" s="801"/>
      <c r="F17" s="786"/>
      <c r="G17" s="796"/>
      <c r="H17" s="786"/>
      <c r="I17" s="809"/>
      <c r="J17" s="809"/>
      <c r="K17" s="655"/>
      <c r="L17" s="799"/>
      <c r="M17" s="2604"/>
      <c r="N17" s="2605">
        <f t="shared" si="0"/>
        <v>0</v>
      </c>
    </row>
    <row r="18" spans="2:14" ht="18.75" thickBot="1">
      <c r="B18" s="788">
        <f>+B16+1</f>
        <v>4</v>
      </c>
      <c r="C18" s="789"/>
      <c r="D18" s="810" t="s">
        <v>33</v>
      </c>
      <c r="E18" s="801" t="str">
        <f>"(ln "&amp;B12&amp;" less ln "&amp;B14&amp;" plus ln " &amp;B16&amp;")"</f>
        <v>(ln 1 less ln 2 plus ln 3)</v>
      </c>
      <c r="F18" s="655"/>
      <c r="H18" s="786"/>
      <c r="I18" s="805"/>
      <c r="J18" s="786"/>
      <c r="K18" s="786"/>
      <c r="L18" s="811">
        <f>+L12-L14+L16</f>
        <v>75655880.901065752</v>
      </c>
      <c r="M18" s="2604">
        <v>75134285.585986525</v>
      </c>
      <c r="N18" s="2605">
        <f t="shared" si="0"/>
        <v>521595.31507922709</v>
      </c>
    </row>
    <row r="19" spans="2:14" ht="18.75" thickTop="1">
      <c r="B19" s="788"/>
      <c r="C19" s="789"/>
      <c r="D19" s="803"/>
      <c r="E19" s="801"/>
      <c r="F19" s="655"/>
      <c r="H19" s="786"/>
      <c r="I19" s="805"/>
      <c r="J19" s="786"/>
      <c r="K19" s="786"/>
      <c r="L19" s="812"/>
      <c r="M19" s="2604"/>
      <c r="N19" s="2605">
        <f t="shared" si="0"/>
        <v>0</v>
      </c>
    </row>
    <row r="20" spans="2:14" ht="15" customHeight="1">
      <c r="B20" s="2428"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428"/>
      <c r="D20" s="2428"/>
      <c r="E20" s="2428"/>
      <c r="F20" s="2428"/>
      <c r="G20" s="2428"/>
      <c r="H20" s="2428"/>
      <c r="I20" s="2428"/>
      <c r="J20" s="791"/>
      <c r="M20" s="2604"/>
      <c r="N20" s="2605">
        <f t="shared" si="0"/>
        <v>0</v>
      </c>
    </row>
    <row r="21" spans="2:14" ht="18.75" customHeight="1">
      <c r="B21" s="2428"/>
      <c r="C21" s="2428"/>
      <c r="D21" s="2428"/>
      <c r="E21" s="2428"/>
      <c r="F21" s="2428"/>
      <c r="G21" s="2428"/>
      <c r="H21" s="2428"/>
      <c r="I21" s="2428"/>
      <c r="J21" s="791"/>
      <c r="K21" s="791"/>
      <c r="L21" s="791"/>
      <c r="M21" s="2604"/>
      <c r="N21" s="2605">
        <f t="shared" si="0"/>
        <v>0</v>
      </c>
    </row>
    <row r="22" spans="2:14" ht="15" customHeight="1">
      <c r="B22" s="813"/>
      <c r="C22" s="813"/>
      <c r="D22" s="813"/>
      <c r="E22" s="813"/>
      <c r="F22" s="813"/>
      <c r="G22" s="813"/>
      <c r="H22" s="813"/>
      <c r="I22" s="813"/>
      <c r="M22" s="2604"/>
      <c r="N22" s="2605">
        <f t="shared" si="0"/>
        <v>0</v>
      </c>
    </row>
    <row r="23" spans="2:14">
      <c r="B23" s="788">
        <f>+B18+1</f>
        <v>5</v>
      </c>
      <c r="C23" s="789"/>
      <c r="D23" s="2436" t="s">
        <v>882</v>
      </c>
      <c r="E23" s="2437"/>
      <c r="F23" s="786"/>
      <c r="G23" s="814">
        <f>+'PSO WS G BPU ATRR'!N19</f>
        <v>5985111.4543428477</v>
      </c>
      <c r="H23" s="786"/>
      <c r="I23" s="805" t="s">
        <v>271</v>
      </c>
      <c r="J23" s="806">
        <v>1</v>
      </c>
      <c r="K23" s="655"/>
      <c r="L23" s="812">
        <f>+J23*G23</f>
        <v>5985111.4543428477</v>
      </c>
      <c r="M23" s="2604">
        <v>5985111.4543428477</v>
      </c>
      <c r="N23" s="2605">
        <f t="shared" si="0"/>
        <v>0</v>
      </c>
    </row>
    <row r="24" spans="2:14">
      <c r="B24" s="788"/>
      <c r="C24" s="789"/>
      <c r="D24" s="2437"/>
      <c r="E24" s="2437"/>
      <c r="F24" s="786"/>
      <c r="G24" s="814"/>
      <c r="H24" s="786"/>
      <c r="I24" s="786"/>
      <c r="J24" s="806"/>
      <c r="K24" s="655"/>
      <c r="L24" s="812"/>
      <c r="M24" s="2604"/>
      <c r="N24" s="2605">
        <f t="shared" si="0"/>
        <v>0</v>
      </c>
    </row>
    <row r="25" spans="2:14">
      <c r="B25" s="788">
        <f>+B23+1</f>
        <v>6</v>
      </c>
      <c r="C25" s="789"/>
      <c r="D25" s="803" t="s">
        <v>34</v>
      </c>
      <c r="E25" s="801"/>
      <c r="F25" s="655"/>
      <c r="G25" s="815"/>
      <c r="H25" s="655"/>
      <c r="J25" s="655"/>
      <c r="K25" s="655"/>
      <c r="M25" s="2604"/>
      <c r="N25" s="2605">
        <f t="shared" si="0"/>
        <v>0</v>
      </c>
    </row>
    <row r="26" spans="2:14">
      <c r="B26" s="788">
        <f>B25+1</f>
        <v>7</v>
      </c>
      <c r="C26" s="789"/>
      <c r="D26" s="783" t="s">
        <v>370</v>
      </c>
      <c r="E26" s="655" t="str">
        <f>"(ln "&amp;B12&amp;"/ ln "&amp;B79&amp;" x 100%)"</f>
        <v>(ln 1/ ln 37 x 100%)</v>
      </c>
      <c r="F26" s="789"/>
      <c r="G26" s="789"/>
      <c r="H26" s="789"/>
      <c r="I26" s="816"/>
      <c r="J26" s="816"/>
      <c r="K26" s="816"/>
      <c r="L26" s="817">
        <f>IF(L79=0,0,(L12)/L79)</f>
        <v>0.13375860384836152</v>
      </c>
      <c r="M26" s="2604">
        <v>0.13291821049797348</v>
      </c>
      <c r="N26" s="2605">
        <f t="shared" si="0"/>
        <v>8.4039335038804674E-4</v>
      </c>
    </row>
    <row r="27" spans="2:14">
      <c r="B27" s="788">
        <f>B26+1</f>
        <v>8</v>
      </c>
      <c r="C27" s="789"/>
      <c r="D27" s="783" t="s">
        <v>371</v>
      </c>
      <c r="E27" s="655" t="str">
        <f>"(ln "&amp;B26&amp;" / 12)"</f>
        <v>(ln 7 / 12)</v>
      </c>
      <c r="F27" s="789"/>
      <c r="G27" s="789"/>
      <c r="H27" s="789"/>
      <c r="I27" s="816"/>
      <c r="J27" s="816"/>
      <c r="K27" s="816"/>
      <c r="L27" s="818">
        <f>L26/12</f>
        <v>1.1146550320696794E-2</v>
      </c>
      <c r="M27" s="2604">
        <v>1.107651754149779E-2</v>
      </c>
      <c r="N27" s="2605">
        <f t="shared" si="0"/>
        <v>7.0032779199003317E-5</v>
      </c>
    </row>
    <row r="28" spans="2:14">
      <c r="B28" s="788"/>
      <c r="C28" s="789"/>
      <c r="D28" s="783"/>
      <c r="E28" s="655"/>
      <c r="F28" s="789"/>
      <c r="G28" s="789"/>
      <c r="H28" s="789"/>
      <c r="I28" s="816"/>
      <c r="J28" s="816"/>
      <c r="K28" s="816"/>
      <c r="L28" s="818"/>
      <c r="M28" s="2604"/>
      <c r="N28" s="2605">
        <f t="shared" si="0"/>
        <v>0</v>
      </c>
    </row>
    <row r="29" spans="2:14">
      <c r="B29" s="788">
        <f>B27+1</f>
        <v>9</v>
      </c>
      <c r="C29" s="789"/>
      <c r="D29" s="803" t="str">
        <f>"NET PLANT CARRYING CHARGE ON LINE "&amp;B26&amp;" , W/O DEPRECIATION (w/o incentives) (Note B)"</f>
        <v>NET PLANT CARRYING CHARGE ON LINE 7 , W/O DEPRECIATION (w/o incentives) (Note B)</v>
      </c>
      <c r="E29" s="655"/>
      <c r="F29" s="789"/>
      <c r="G29" s="789"/>
      <c r="H29" s="789"/>
      <c r="I29" s="816"/>
      <c r="J29" s="816"/>
      <c r="K29" s="816"/>
      <c r="L29" s="818"/>
      <c r="M29" s="2604"/>
      <c r="N29" s="2605">
        <f t="shared" si="0"/>
        <v>0</v>
      </c>
    </row>
    <row r="30" spans="2:14">
      <c r="B30" s="788">
        <f>B29+1</f>
        <v>10</v>
      </c>
      <c r="C30" s="789"/>
      <c r="D30" s="783" t="s">
        <v>370</v>
      </c>
      <c r="E30" s="655" t="str">
        <f>"( (ln "&amp;B12&amp;" - ln "&amp;B153&amp;") / ln "&amp;B79&amp;" x 100%)"</f>
        <v>( (ln 1 - ln 86) / ln 37 x 100%)</v>
      </c>
      <c r="F30" s="789"/>
      <c r="G30" s="789"/>
      <c r="H30" s="789"/>
      <c r="I30" s="816"/>
      <c r="J30" s="816"/>
      <c r="K30" s="816"/>
      <c r="L30" s="817">
        <f>IF(L79=0,0,(L12-L153)/L79)</f>
        <v>0.10357596017730604</v>
      </c>
      <c r="M30" s="2604">
        <v>0.10273556682691798</v>
      </c>
      <c r="N30" s="2605">
        <f t="shared" si="0"/>
        <v>8.4039335038806062E-4</v>
      </c>
    </row>
    <row r="31" spans="2:14">
      <c r="B31" s="788"/>
      <c r="C31" s="789"/>
      <c r="D31" s="783"/>
      <c r="E31" s="655"/>
      <c r="F31" s="789"/>
      <c r="G31" s="789"/>
      <c r="H31" s="789"/>
      <c r="I31" s="816"/>
      <c r="J31" s="816"/>
      <c r="K31" s="816"/>
      <c r="L31" s="818"/>
      <c r="M31" s="2604"/>
      <c r="N31" s="2605">
        <f t="shared" si="0"/>
        <v>0</v>
      </c>
    </row>
    <row r="32" spans="2:14">
      <c r="B32" s="788">
        <f>B30+1</f>
        <v>11</v>
      </c>
      <c r="C32" s="789"/>
      <c r="D32" s="803" t="str">
        <f>"NET PLANT CARRYING CHARGE ON LINE "&amp;B29&amp;", W/O  INCOME TAXES, RETURN  (Note B)"</f>
        <v>NET PLANT CARRYING CHARGE ON LINE 9, W/O  INCOME TAXES, RETURN  (Note B)</v>
      </c>
      <c r="E32" s="655"/>
      <c r="F32" s="789"/>
      <c r="G32" s="789"/>
      <c r="H32" s="789"/>
      <c r="I32" s="816"/>
      <c r="J32" s="816"/>
      <c r="K32" s="816"/>
      <c r="L32" s="817"/>
      <c r="M32" s="2604"/>
      <c r="N32" s="2605">
        <f t="shared" si="0"/>
        <v>0</v>
      </c>
    </row>
    <row r="33" spans="2:16">
      <c r="B33" s="788">
        <f>B32+1</f>
        <v>12</v>
      </c>
      <c r="C33" s="789"/>
      <c r="D33" s="783" t="s">
        <v>370</v>
      </c>
      <c r="E33" s="655" t="str">
        <f>"( (ln "&amp;B12&amp;" - ln "&amp;B153&amp;" - ln "&amp;B182&amp;" - ln "&amp;B184&amp;") / ln "&amp;B79&amp;" x 100%)"</f>
        <v>( (ln 1 - ln 86 - ln 111 - ln 112) / ln 37 x 100%)</v>
      </c>
      <c r="F33" s="789"/>
      <c r="G33" s="789"/>
      <c r="H33" s="789"/>
      <c r="I33" s="816"/>
      <c r="J33" s="816"/>
      <c r="K33" s="816"/>
      <c r="L33" s="819">
        <f>IF(L79=0,0,(L12-L153-L182-L184)/L79)</f>
        <v>4.3628422102687484E-2</v>
      </c>
      <c r="M33" s="2604">
        <v>4.3628422102687484E-2</v>
      </c>
      <c r="N33" s="2605">
        <f t="shared" si="0"/>
        <v>0</v>
      </c>
    </row>
    <row r="34" spans="2:16">
      <c r="B34" s="788"/>
      <c r="C34" s="789"/>
      <c r="D34" s="783"/>
      <c r="E34" s="655"/>
      <c r="F34" s="789"/>
      <c r="G34" s="789"/>
      <c r="H34" s="789"/>
      <c r="I34" s="816"/>
      <c r="J34" s="816"/>
      <c r="K34" s="816"/>
      <c r="L34" s="817"/>
      <c r="M34" s="2604"/>
      <c r="N34" s="2605">
        <f t="shared" si="0"/>
        <v>0</v>
      </c>
    </row>
    <row r="35" spans="2:16">
      <c r="B35" s="788">
        <f>B33+1</f>
        <v>13</v>
      </c>
      <c r="C35" s="789"/>
      <c r="D35" s="798" t="s">
        <v>910</v>
      </c>
      <c r="E35" s="655"/>
      <c r="F35" s="789"/>
      <c r="G35" s="789"/>
      <c r="H35" s="789"/>
      <c r="I35" s="816"/>
      <c r="J35" s="816"/>
      <c r="K35" s="816"/>
      <c r="L35" s="820">
        <f>+'PSO WS G BPU ATRR'!P19</f>
        <v>0</v>
      </c>
      <c r="M35" s="2604">
        <v>0</v>
      </c>
      <c r="N35" s="2605">
        <f t="shared" si="0"/>
        <v>0</v>
      </c>
    </row>
    <row r="36" spans="2:16">
      <c r="B36" s="788"/>
      <c r="C36" s="789"/>
      <c r="E36" s="655"/>
      <c r="F36" s="789"/>
      <c r="G36" s="789"/>
      <c r="H36" s="789"/>
      <c r="I36" s="816"/>
      <c r="J36" s="816"/>
      <c r="K36" s="816"/>
      <c r="L36" s="817"/>
      <c r="M36" s="2604"/>
      <c r="N36" s="2605">
        <f t="shared" si="0"/>
        <v>0</v>
      </c>
    </row>
    <row r="37" spans="2:16">
      <c r="B37" s="662"/>
      <c r="C37" s="789"/>
      <c r="E37" s="655"/>
      <c r="F37" s="789"/>
      <c r="G37" s="789"/>
      <c r="H37" s="789"/>
      <c r="I37" s="816"/>
      <c r="J37" s="816"/>
      <c r="K37" s="816"/>
      <c r="L37" s="817"/>
      <c r="M37" s="2604"/>
      <c r="N37" s="2605">
        <f t="shared" si="0"/>
        <v>0</v>
      </c>
    </row>
    <row r="38" spans="2:16">
      <c r="B38" s="788"/>
      <c r="C38" s="789"/>
      <c r="E38" s="655"/>
      <c r="F38" s="789"/>
      <c r="G38" s="789"/>
      <c r="H38" s="789"/>
      <c r="I38" s="816"/>
      <c r="J38" s="816"/>
      <c r="K38" s="816"/>
      <c r="L38" s="817"/>
      <c r="M38" s="2604"/>
      <c r="N38" s="2605">
        <f t="shared" si="0"/>
        <v>0</v>
      </c>
    </row>
    <row r="39" spans="2:16">
      <c r="B39" s="788"/>
      <c r="C39" s="789"/>
      <c r="E39" s="655"/>
      <c r="F39" s="789"/>
      <c r="G39" s="789"/>
      <c r="H39" s="789"/>
      <c r="I39" s="816"/>
      <c r="J39" s="816"/>
      <c r="K39" s="816"/>
      <c r="L39" s="817"/>
      <c r="M39" s="2604"/>
      <c r="N39" s="2605">
        <f t="shared" si="0"/>
        <v>0</v>
      </c>
    </row>
    <row r="40" spans="2:16">
      <c r="D40" s="783"/>
      <c r="E40" s="783"/>
      <c r="G40" s="800"/>
      <c r="H40" s="783"/>
      <c r="I40" s="783"/>
      <c r="J40" s="783"/>
      <c r="K40" s="783"/>
      <c r="L40" s="783"/>
      <c r="M40" s="2604"/>
      <c r="N40" s="2605">
        <f t="shared" si="0"/>
        <v>0</v>
      </c>
    </row>
    <row r="41" spans="2:16">
      <c r="D41" s="783"/>
      <c r="E41" s="783"/>
      <c r="F41" s="789"/>
      <c r="G41" s="800"/>
      <c r="H41" s="783"/>
      <c r="I41" s="783"/>
      <c r="J41" s="783"/>
      <c r="K41" s="783"/>
      <c r="L41" s="783"/>
      <c r="M41" s="2604"/>
      <c r="N41" s="2605">
        <f t="shared" si="0"/>
        <v>0</v>
      </c>
      <c r="P41" s="821"/>
    </row>
    <row r="42" spans="2:16">
      <c r="D42" s="783"/>
      <c r="E42" s="783"/>
      <c r="F42" s="789" t="str">
        <f>F4</f>
        <v xml:space="preserve">AEP West SPP Member Operating Companies </v>
      </c>
      <c r="G42" s="800"/>
      <c r="H42" s="783"/>
      <c r="I42" s="783"/>
      <c r="J42" s="783"/>
      <c r="K42" s="783"/>
      <c r="L42" s="783"/>
      <c r="M42" s="2604"/>
      <c r="N42" s="2605">
        <f t="shared" si="0"/>
        <v>0</v>
      </c>
      <c r="P42" s="821"/>
    </row>
    <row r="43" spans="2:16">
      <c r="D43" s="783"/>
      <c r="E43" s="786"/>
      <c r="F43" s="789" t="str">
        <f>F5</f>
        <v>Transmission Cost of Service Formula Rate</v>
      </c>
      <c r="G43" s="786"/>
      <c r="H43" s="786"/>
      <c r="I43" s="786"/>
      <c r="J43" s="786"/>
      <c r="K43" s="786"/>
      <c r="L43" s="786"/>
      <c r="M43" s="2604"/>
      <c r="N43" s="2605">
        <f t="shared" si="0"/>
        <v>0</v>
      </c>
      <c r="P43" s="822"/>
    </row>
    <row r="44" spans="2:16">
      <c r="D44" s="783"/>
      <c r="E44" s="786"/>
      <c r="F44" s="805" t="str">
        <f>F6</f>
        <v>Utilizing Actual / Projected Cost Data for the 2018 Rate Year</v>
      </c>
      <c r="G44" s="786"/>
      <c r="H44" s="786"/>
      <c r="I44" s="786"/>
      <c r="J44" s="786"/>
      <c r="K44" s="786"/>
      <c r="L44" s="786"/>
      <c r="M44" s="2604"/>
      <c r="N44" s="2605">
        <f t="shared" si="0"/>
        <v>0</v>
      </c>
      <c r="P44" s="822"/>
    </row>
    <row r="45" spans="2:16">
      <c r="D45" s="783"/>
      <c r="E45" s="786"/>
      <c r="F45" s="789"/>
      <c r="G45" s="786"/>
      <c r="H45" s="786"/>
      <c r="I45" s="786"/>
      <c r="J45" s="786"/>
      <c r="K45" s="786"/>
      <c r="L45" s="786"/>
      <c r="M45" s="2604"/>
      <c r="N45" s="2605">
        <f t="shared" si="0"/>
        <v>0</v>
      </c>
      <c r="P45" s="822"/>
    </row>
    <row r="46" spans="2:16">
      <c r="D46" s="783"/>
      <c r="E46" s="786"/>
      <c r="F46" s="789" t="str">
        <f>F8</f>
        <v>PUBLIC SERVICE COMPANY OF OKLAHOMA</v>
      </c>
      <c r="G46" s="786"/>
      <c r="H46" s="786"/>
      <c r="I46" s="786"/>
      <c r="J46" s="786"/>
      <c r="K46" s="786"/>
      <c r="L46" s="786"/>
      <c r="M46" s="2604"/>
      <c r="N46" s="2605">
        <f t="shared" si="0"/>
        <v>0</v>
      </c>
      <c r="P46" s="822"/>
    </row>
    <row r="47" spans="2:16">
      <c r="D47" s="783"/>
      <c r="E47" s="805"/>
      <c r="F47" s="805"/>
      <c r="G47" s="805"/>
      <c r="H47" s="805"/>
      <c r="I47" s="805"/>
      <c r="J47" s="805"/>
      <c r="K47" s="805"/>
      <c r="L47" s="786"/>
      <c r="M47" s="2604"/>
      <c r="N47" s="2605">
        <f t="shared" si="0"/>
        <v>0</v>
      </c>
      <c r="P47" s="822"/>
    </row>
    <row r="48" spans="2:16">
      <c r="D48" s="789" t="s">
        <v>263</v>
      </c>
      <c r="E48" s="789" t="s">
        <v>264</v>
      </c>
      <c r="F48" s="789"/>
      <c r="G48" s="789" t="s">
        <v>265</v>
      </c>
      <c r="H48" s="786" t="s">
        <v>256</v>
      </c>
      <c r="I48" s="2431" t="s">
        <v>266</v>
      </c>
      <c r="J48" s="2432"/>
      <c r="K48" s="786"/>
      <c r="L48" s="790" t="s">
        <v>267</v>
      </c>
      <c r="M48" s="2604" t="s">
        <v>267</v>
      </c>
      <c r="N48" s="2605">
        <f t="shared" si="0"/>
        <v>0</v>
      </c>
    </row>
    <row r="49" spans="2:16">
      <c r="B49" s="662"/>
      <c r="D49" s="791"/>
      <c r="E49" s="791"/>
      <c r="F49" s="791"/>
      <c r="G49" s="823"/>
      <c r="H49" s="786"/>
      <c r="I49" s="786"/>
      <c r="J49" s="824"/>
      <c r="K49" s="786"/>
      <c r="M49" s="2604"/>
      <c r="N49" s="2605">
        <f t="shared" si="0"/>
        <v>0</v>
      </c>
    </row>
    <row r="50" spans="2:16">
      <c r="B50" s="825"/>
      <c r="C50" s="789"/>
      <c r="D50" s="791"/>
      <c r="E50" s="826" t="s">
        <v>242</v>
      </c>
      <c r="F50" s="827"/>
      <c r="G50" s="786"/>
      <c r="H50" s="786"/>
      <c r="I50" s="786"/>
      <c r="J50" s="789"/>
      <c r="K50" s="786"/>
      <c r="L50" s="828" t="s">
        <v>260</v>
      </c>
      <c r="M50" s="2604" t="s">
        <v>260</v>
      </c>
      <c r="N50" s="2605" t="e">
        <f t="shared" si="0"/>
        <v>#VALUE!</v>
      </c>
      <c r="P50" s="821"/>
    </row>
    <row r="51" spans="2:16">
      <c r="B51" s="662"/>
      <c r="C51" s="796"/>
      <c r="D51" s="829" t="s">
        <v>241</v>
      </c>
      <c r="E51" s="830" t="s">
        <v>254</v>
      </c>
      <c r="F51" s="786"/>
      <c r="G51" s="829" t="s">
        <v>228</v>
      </c>
      <c r="H51" s="831"/>
      <c r="I51" s="2429" t="s">
        <v>261</v>
      </c>
      <c r="J51" s="2430"/>
      <c r="K51" s="831"/>
      <c r="L51" s="829" t="s">
        <v>257</v>
      </c>
      <c r="M51" s="2604" t="s">
        <v>257</v>
      </c>
      <c r="N51" s="2605" t="e">
        <f t="shared" si="0"/>
        <v>#VALUE!</v>
      </c>
    </row>
    <row r="52" spans="2:16">
      <c r="B52" s="832" t="str">
        <f>B10</f>
        <v>Line</v>
      </c>
      <c r="C52" s="789"/>
      <c r="D52" s="783"/>
      <c r="E52" s="786"/>
      <c r="F52" s="786"/>
      <c r="G52" s="833" t="s">
        <v>144</v>
      </c>
      <c r="H52" s="786"/>
      <c r="I52" s="786"/>
      <c r="J52" s="786"/>
      <c r="K52" s="786"/>
      <c r="L52" s="786"/>
      <c r="M52" s="2604"/>
      <c r="N52" s="2605">
        <f t="shared" si="0"/>
        <v>0</v>
      </c>
    </row>
    <row r="53" spans="2:16" ht="18.75" thickBot="1">
      <c r="B53" s="795" t="str">
        <f>B11</f>
        <v>No.</v>
      </c>
      <c r="C53" s="789"/>
      <c r="D53" s="783" t="s">
        <v>229</v>
      </c>
      <c r="E53" s="834"/>
      <c r="F53" s="834"/>
      <c r="G53" s="786"/>
      <c r="H53" s="786"/>
      <c r="I53" s="805"/>
      <c r="J53" s="786"/>
      <c r="K53" s="786"/>
      <c r="L53" s="786"/>
      <c r="M53" s="2604"/>
      <c r="N53" s="2605">
        <f t="shared" si="0"/>
        <v>0</v>
      </c>
    </row>
    <row r="54" spans="2:16">
      <c r="B54" s="788">
        <f>+B35+1</f>
        <v>14</v>
      </c>
      <c r="C54" s="789"/>
      <c r="D54" s="835" t="s">
        <v>268</v>
      </c>
      <c r="E54" s="786" t="str">
        <f>"(Worksheet A-1 ln "&amp;'PSO WS A-1 - Plant'!A24&amp;".B)"</f>
        <v>(Worksheet A-1 ln 14.B)</v>
      </c>
      <c r="F54" s="836"/>
      <c r="G54" s="814">
        <f>+'PSO WS A-1 - Plant'!C24</f>
        <v>1571321050</v>
      </c>
      <c r="H54" s="814"/>
      <c r="I54" s="805" t="s">
        <v>269</v>
      </c>
      <c r="J54" s="806">
        <v>0</v>
      </c>
      <c r="K54" s="786"/>
      <c r="L54" s="814">
        <f>+J54*G54</f>
        <v>0</v>
      </c>
      <c r="M54" s="2604">
        <v>0</v>
      </c>
      <c r="N54" s="2605">
        <f t="shared" si="0"/>
        <v>0</v>
      </c>
    </row>
    <row r="55" spans="2:16">
      <c r="B55" s="788">
        <f t="shared" ref="B55:B63" si="1">+B54+1</f>
        <v>15</v>
      </c>
      <c r="C55" s="789"/>
      <c r="D55" s="835" t="s">
        <v>19</v>
      </c>
      <c r="E55" s="786" t="str">
        <f>"(Worksheet A-1 ln "&amp;'PSO WS A-1 - Plant'!A24&amp;".C)"</f>
        <v>(Worksheet A-1 ln 14.C)</v>
      </c>
      <c r="F55" s="836"/>
      <c r="G55" s="814">
        <f>-'PSO WS A-1 - Plant'!D24</f>
        <v>-30831120</v>
      </c>
      <c r="H55" s="814"/>
      <c r="I55" s="805" t="s">
        <v>269</v>
      </c>
      <c r="J55" s="806">
        <v>0</v>
      </c>
      <c r="K55" s="786"/>
      <c r="L55" s="814">
        <f>+J55*G55</f>
        <v>0</v>
      </c>
      <c r="M55" s="2604">
        <v>0</v>
      </c>
      <c r="N55" s="2605">
        <f t="shared" si="0"/>
        <v>0</v>
      </c>
    </row>
    <row r="56" spans="2:16">
      <c r="B56" s="788">
        <f t="shared" si="1"/>
        <v>16</v>
      </c>
      <c r="C56" s="837"/>
      <c r="D56" s="838" t="s">
        <v>270</v>
      </c>
      <c r="E56" s="786" t="str">
        <f>"(Worksheet A-1 ln "&amp;'PSO WS A-1 - Plant'!A24&amp;".D &amp; Ln "&amp;B209</f>
        <v>(Worksheet A-1 ln 14.D &amp; Ln 121</v>
      </c>
      <c r="F56" s="839"/>
      <c r="G56" s="814">
        <f>+'PSO WS A-1 - Plant'!E24</f>
        <v>875615136.5</v>
      </c>
      <c r="H56" s="814"/>
      <c r="I56" s="840" t="s">
        <v>271</v>
      </c>
      <c r="J56" s="786"/>
      <c r="K56" s="841"/>
      <c r="L56" s="842">
        <f>+L209</f>
        <v>802636914.46230936</v>
      </c>
      <c r="M56" s="2604">
        <v>802636914.46230936</v>
      </c>
      <c r="N56" s="2605">
        <f t="shared" si="0"/>
        <v>0</v>
      </c>
    </row>
    <row r="57" spans="2:16">
      <c r="B57" s="788">
        <f t="shared" si="1"/>
        <v>17</v>
      </c>
      <c r="C57" s="837"/>
      <c r="D57" s="835" t="s">
        <v>20</v>
      </c>
      <c r="E57" s="786" t="str">
        <f>"(Worksheet A-1 ln "&amp;'PSO WS A-1 - Plant'!A24&amp;".E)"</f>
        <v>(Worksheet A-1 ln 14.E)</v>
      </c>
      <c r="F57" s="839"/>
      <c r="G57" s="814">
        <f>-'PSO WS A-1 - Plant'!F24</f>
        <v>0</v>
      </c>
      <c r="H57" s="814"/>
      <c r="I57" s="840" t="s">
        <v>262</v>
      </c>
      <c r="J57" s="806">
        <f>+$L$211</f>
        <v>0.91665491036461699</v>
      </c>
      <c r="K57" s="841"/>
      <c r="L57" s="842">
        <f>+G57*J57</f>
        <v>0</v>
      </c>
      <c r="M57" s="2604">
        <v>0</v>
      </c>
      <c r="N57" s="2605">
        <f t="shared" si="0"/>
        <v>0</v>
      </c>
    </row>
    <row r="58" spans="2:16">
      <c r="B58" s="788">
        <f>+B57+1</f>
        <v>18</v>
      </c>
      <c r="C58" s="837"/>
      <c r="D58" s="783" t="s">
        <v>272</v>
      </c>
      <c r="E58" s="786" t="str">
        <f>"(Worksheet A-1 ln "&amp;'PSO WS A-1 - Plant'!A24&amp;".F)"</f>
        <v>(Worksheet A-1 ln 14.F)</v>
      </c>
      <c r="F58" s="836"/>
      <c r="G58" s="814">
        <f>+'PSO WS A-1 - Plant'!G24</f>
        <v>2508662448.5</v>
      </c>
      <c r="H58" s="814"/>
      <c r="I58" s="805" t="s">
        <v>269</v>
      </c>
      <c r="J58" s="806">
        <v>0</v>
      </c>
      <c r="K58" s="786"/>
      <c r="L58" s="814">
        <f>+J58*G58</f>
        <v>0</v>
      </c>
      <c r="M58" s="2604">
        <v>0</v>
      </c>
      <c r="N58" s="2605">
        <f t="shared" si="0"/>
        <v>0</v>
      </c>
    </row>
    <row r="59" spans="2:16">
      <c r="B59" s="788">
        <f t="shared" si="1"/>
        <v>19</v>
      </c>
      <c r="C59" s="837"/>
      <c r="D59" s="835" t="s">
        <v>17</v>
      </c>
      <c r="E59" s="786" t="str">
        <f>"(Worksheet A-1 ln "&amp;'PSO WS A-1 - Plant'!A24&amp;".G)"</f>
        <v>(Worksheet A-1 ln 14.G)</v>
      </c>
      <c r="F59" s="836"/>
      <c r="G59" s="814">
        <f>-'PSO WS A-1 - Plant'!H24</f>
        <v>0</v>
      </c>
      <c r="H59" s="814"/>
      <c r="I59" s="805" t="s">
        <v>269</v>
      </c>
      <c r="J59" s="806">
        <v>0</v>
      </c>
      <c r="K59" s="786"/>
      <c r="L59" s="814">
        <f>+G59*J59</f>
        <v>0</v>
      </c>
      <c r="M59" s="2604">
        <v>0</v>
      </c>
      <c r="N59" s="2605">
        <f t="shared" si="0"/>
        <v>0</v>
      </c>
    </row>
    <row r="60" spans="2:16">
      <c r="B60" s="788">
        <f t="shared" si="1"/>
        <v>20</v>
      </c>
      <c r="C60" s="837"/>
      <c r="D60" s="783" t="s">
        <v>273</v>
      </c>
      <c r="E60" s="786" t="str">
        <f>"(Worksheet A-1 ln "&amp;'PSO WS A-1 - Plant'!A44&amp;".B)"</f>
        <v>(Worksheet A-1 ln 28.B)</v>
      </c>
      <c r="F60" s="836"/>
      <c r="G60" s="814">
        <f>+'PSO WS A-1 - Plant'!C44</f>
        <v>166291036</v>
      </c>
      <c r="H60" s="814"/>
      <c r="I60" s="805" t="s">
        <v>274</v>
      </c>
      <c r="J60" s="806">
        <f>+$L$221</f>
        <v>7.834466905550759E-2</v>
      </c>
      <c r="K60" s="786"/>
      <c r="L60" s="814">
        <f>+J60*G60</f>
        <v>13028016.182317499</v>
      </c>
      <c r="M60" s="2604">
        <v>13028016.182317499</v>
      </c>
      <c r="N60" s="2605">
        <f t="shared" si="0"/>
        <v>0</v>
      </c>
    </row>
    <row r="61" spans="2:16">
      <c r="B61" s="788">
        <f t="shared" si="1"/>
        <v>21</v>
      </c>
      <c r="C61" s="837"/>
      <c r="D61" s="835" t="s">
        <v>18</v>
      </c>
      <c r="E61" s="786" t="str">
        <f>"(Worksheet A-1 ln "&amp;'PSO WS A-1 - Plant'!A44&amp;".C)"</f>
        <v>(Worksheet A-1 ln 28.C)</v>
      </c>
      <c r="F61" s="836"/>
      <c r="G61" s="814">
        <f>-'PSO WS A-1 - Plant'!D44</f>
        <v>-564379.5</v>
      </c>
      <c r="H61" s="814"/>
      <c r="I61" s="805" t="s">
        <v>274</v>
      </c>
      <c r="J61" s="806">
        <f>+$L$221</f>
        <v>7.834466905550759E-2</v>
      </c>
      <c r="K61" s="786"/>
      <c r="L61" s="814">
        <f>+G61*J61</f>
        <v>-44216.125149212843</v>
      </c>
      <c r="M61" s="2604">
        <v>-44216.125149212843</v>
      </c>
      <c r="N61" s="2605">
        <f t="shared" si="0"/>
        <v>0</v>
      </c>
    </row>
    <row r="62" spans="2:16" ht="18.75" thickBot="1">
      <c r="B62" s="788">
        <f t="shared" si="1"/>
        <v>22</v>
      </c>
      <c r="C62" s="837"/>
      <c r="D62" s="783" t="s">
        <v>275</v>
      </c>
      <c r="E62" s="786" t="str">
        <f>"(Worksheet A-1 ln "&amp;'PSO WS A-1 - Plant'!A44&amp;".D)"</f>
        <v>(Worksheet A-1 ln 28.D)</v>
      </c>
      <c r="F62" s="836"/>
      <c r="G62" s="843">
        <f>+'PSO WS A-1 - Plant'!E44</f>
        <v>102458417.5</v>
      </c>
      <c r="H62" s="814"/>
      <c r="I62" s="805" t="s">
        <v>274</v>
      </c>
      <c r="J62" s="806">
        <f>+$L$221</f>
        <v>7.834466905550759E-2</v>
      </c>
      <c r="K62" s="786"/>
      <c r="L62" s="843">
        <f>+J62*G62</f>
        <v>8027070.8109885277</v>
      </c>
      <c r="M62" s="2604">
        <v>8027070.8109885277</v>
      </c>
      <c r="N62" s="2605">
        <f t="shared" si="0"/>
        <v>0</v>
      </c>
      <c r="O62" s="783"/>
    </row>
    <row r="63" spans="2:16">
      <c r="B63" s="825">
        <f t="shared" si="1"/>
        <v>23</v>
      </c>
      <c r="C63" s="837"/>
      <c r="D63" s="783" t="s">
        <v>227</v>
      </c>
      <c r="E63" s="800" t="str">
        <f>"(sum lns "&amp;B54&amp;" to "&amp;B62&amp;")"</f>
        <v>(sum lns 14 to 22)</v>
      </c>
      <c r="F63" s="844"/>
      <c r="G63" s="814">
        <f>SUM(G54:G62)</f>
        <v>5192952589</v>
      </c>
      <c r="H63" s="814"/>
      <c r="I63" s="823" t="s">
        <v>866</v>
      </c>
      <c r="J63" s="845">
        <f>IF(G63=0,0,L63/G63)</f>
        <v>0.15860876278269179</v>
      </c>
      <c r="K63" s="786"/>
      <c r="L63" s="814">
        <f>SUM(L54:L62)</f>
        <v>823647785.33046615</v>
      </c>
      <c r="M63" s="2604">
        <v>823647785.33046615</v>
      </c>
      <c r="N63" s="2605">
        <f t="shared" si="0"/>
        <v>0</v>
      </c>
      <c r="O63" s="783"/>
    </row>
    <row r="64" spans="2:16">
      <c r="B64" s="825"/>
      <c r="C64" s="789"/>
      <c r="D64" s="783"/>
      <c r="E64" s="846"/>
      <c r="F64" s="844"/>
      <c r="G64" s="847"/>
      <c r="H64" s="814"/>
      <c r="I64" s="848" t="s">
        <v>356</v>
      </c>
      <c r="J64" s="849">
        <f>+G56/(++G56+G58)</f>
        <v>0.25873029457777175</v>
      </c>
      <c r="K64" s="786"/>
      <c r="L64" s="814"/>
      <c r="M64" s="2604"/>
      <c r="N64" s="2605">
        <f t="shared" si="0"/>
        <v>0</v>
      </c>
      <c r="O64" s="783"/>
    </row>
    <row r="65" spans="2:15">
      <c r="B65" s="788">
        <f>+B63+1</f>
        <v>24</v>
      </c>
      <c r="C65" s="789"/>
      <c r="D65" s="783" t="s">
        <v>209</v>
      </c>
      <c r="E65" s="834"/>
      <c r="F65" s="834"/>
      <c r="G65" s="847"/>
      <c r="H65" s="850"/>
      <c r="I65" s="805"/>
      <c r="J65" s="851"/>
      <c r="K65" s="786"/>
      <c r="L65" s="814"/>
      <c r="M65" s="2604"/>
      <c r="N65" s="2605">
        <f t="shared" si="0"/>
        <v>0</v>
      </c>
      <c r="O65" s="786"/>
    </row>
    <row r="66" spans="2:15">
      <c r="B66" s="788">
        <f t="shared" ref="B66:B75" si="2">+B65+1</f>
        <v>25</v>
      </c>
      <c r="C66" s="789"/>
      <c r="D66" s="835" t="str">
        <f>+D54</f>
        <v xml:space="preserve">  Production</v>
      </c>
      <c r="E66" s="786" t="str">
        <f>"(Worksheet A-2 ln "&amp;'PSO WS A-1 - Plant'!A24&amp;".B)"</f>
        <v>(Worksheet A-2 ln 14.B)</v>
      </c>
      <c r="F66" s="836"/>
      <c r="G66" s="814">
        <f>+'PSO WS A-2 Accumulated Depn'!C24</f>
        <v>684132745</v>
      </c>
      <c r="H66" s="814"/>
      <c r="I66" s="805" t="s">
        <v>269</v>
      </c>
      <c r="J66" s="806">
        <v>0</v>
      </c>
      <c r="K66" s="786"/>
      <c r="L66" s="814">
        <f>+J66*G66</f>
        <v>0</v>
      </c>
      <c r="M66" s="2604">
        <v>0</v>
      </c>
      <c r="N66" s="2605">
        <f t="shared" si="0"/>
        <v>0</v>
      </c>
      <c r="O66" s="786"/>
    </row>
    <row r="67" spans="2:15">
      <c r="B67" s="788">
        <f t="shared" si="2"/>
        <v>26</v>
      </c>
      <c r="C67" s="789"/>
      <c r="D67" s="835" t="s">
        <v>19</v>
      </c>
      <c r="E67" s="786" t="str">
        <f>"(Worksheet A-2 ln "&amp;'PSO WS A-1 - Plant'!A24&amp;".C)"</f>
        <v>(Worksheet A-2 ln 14.C)</v>
      </c>
      <c r="F67" s="836"/>
      <c r="G67" s="814">
        <f>-'PSO WS A-2 Accumulated Depn'!D24</f>
        <v>-8272081</v>
      </c>
      <c r="H67" s="814"/>
      <c r="I67" s="805" t="s">
        <v>269</v>
      </c>
      <c r="J67" s="806">
        <v>0</v>
      </c>
      <c r="K67" s="786"/>
      <c r="L67" s="814">
        <f>+J67*G67</f>
        <v>0</v>
      </c>
      <c r="M67" s="2604">
        <v>0</v>
      </c>
      <c r="N67" s="2605">
        <f t="shared" si="0"/>
        <v>0</v>
      </c>
      <c r="O67" s="786"/>
    </row>
    <row r="68" spans="2:15">
      <c r="B68" s="788">
        <f t="shared" si="2"/>
        <v>27</v>
      </c>
      <c r="C68" s="837"/>
      <c r="D68" s="838" t="str">
        <f>D56</f>
        <v xml:space="preserve">  Transmission</v>
      </c>
      <c r="E68" s="786" t="str">
        <f>"(Worksheet A-2 ln "&amp;'PSO WS A-2 Accumulated Depn'!A24&amp;".D less "&amp;'PSO WS A-2 Accumulated Depn'!A46&amp;".F)"</f>
        <v>(Worksheet A-2 ln 14.D less 29.F)</v>
      </c>
      <c r="F68" s="852"/>
      <c r="G68" s="814">
        <f>+'PSO WS A-2 Accumulated Depn'!E24</f>
        <v>208197290</v>
      </c>
      <c r="H68" s="814"/>
      <c r="I68" s="853" t="s">
        <v>211</v>
      </c>
      <c r="J68" s="854">
        <f>IF(G68=0,0,L68/G68)</f>
        <v>0.87407837110038455</v>
      </c>
      <c r="K68" s="841"/>
      <c r="L68" s="814">
        <f>+'PSO WS A-2 Accumulated Depn'!G46</f>
        <v>181980748.11071438</v>
      </c>
      <c r="M68" s="2604">
        <v>181980748.11071438</v>
      </c>
      <c r="N68" s="2605">
        <f t="shared" si="0"/>
        <v>0</v>
      </c>
      <c r="O68" s="786"/>
    </row>
    <row r="69" spans="2:15">
      <c r="B69" s="788">
        <f t="shared" si="2"/>
        <v>28</v>
      </c>
      <c r="C69" s="837"/>
      <c r="D69" s="835" t="s">
        <v>20</v>
      </c>
      <c r="E69" s="786" t="str">
        <f>"(Worksheet A-2 ln "&amp;'PSO WS A-2 Accumulated Depn'!A24&amp;".E)"</f>
        <v>(Worksheet A-2 ln 14.E)</v>
      </c>
      <c r="F69" s="839"/>
      <c r="G69" s="814">
        <f>-'PSO WS A-2 Accumulated Depn'!F24</f>
        <v>0</v>
      </c>
      <c r="H69" s="814"/>
      <c r="I69" s="853" t="s">
        <v>211</v>
      </c>
      <c r="J69" s="806">
        <f>+J68</f>
        <v>0.87407837110038455</v>
      </c>
      <c r="K69" s="841"/>
      <c r="L69" s="814">
        <f>+J69*G69</f>
        <v>0</v>
      </c>
      <c r="M69" s="2604">
        <v>0</v>
      </c>
      <c r="N69" s="2605">
        <f t="shared" si="0"/>
        <v>0</v>
      </c>
      <c r="O69" s="786"/>
    </row>
    <row r="70" spans="2:15">
      <c r="B70" s="788">
        <f>+B69+1</f>
        <v>29</v>
      </c>
      <c r="C70" s="837"/>
      <c r="D70" s="783" t="str">
        <f>+D58</f>
        <v xml:space="preserve">  Distribution</v>
      </c>
      <c r="E70" s="786" t="str">
        <f>"(Worksheet A-2 ln "&amp;'PSO WS A-2 Accumulated Depn'!A24&amp;".F)"</f>
        <v>(Worksheet A-2 ln 14.F)</v>
      </c>
      <c r="F70" s="836"/>
      <c r="G70" s="814">
        <f>+'PSO WS A-2 Accumulated Depn'!G24</f>
        <v>601811261</v>
      </c>
      <c r="H70" s="814"/>
      <c r="I70" s="805" t="s">
        <v>269</v>
      </c>
      <c r="J70" s="806">
        <v>0</v>
      </c>
      <c r="K70" s="786"/>
      <c r="L70" s="814">
        <f t="shared" ref="L70:L74" si="3">+J70*G70</f>
        <v>0</v>
      </c>
      <c r="M70" s="2604">
        <v>0</v>
      </c>
      <c r="N70" s="2605">
        <f t="shared" si="0"/>
        <v>0</v>
      </c>
      <c r="O70" s="786"/>
    </row>
    <row r="71" spans="2:15">
      <c r="B71" s="788">
        <f t="shared" si="2"/>
        <v>30</v>
      </c>
      <c r="C71" s="837"/>
      <c r="D71" s="835" t="s">
        <v>17</v>
      </c>
      <c r="E71" s="786" t="str">
        <f>"(Worksheet A-2 ln "&amp;'PSO WS A-2 Accumulated Depn'!A24&amp;".G)"</f>
        <v>(Worksheet A-2 ln 14.G)</v>
      </c>
      <c r="F71" s="836"/>
      <c r="G71" s="814">
        <f>-'PSO WS A-2 Accumulated Depn'!H24</f>
        <v>0</v>
      </c>
      <c r="H71" s="814"/>
      <c r="I71" s="805" t="s">
        <v>269</v>
      </c>
      <c r="J71" s="806">
        <v>0</v>
      </c>
      <c r="K71" s="786"/>
      <c r="L71" s="814">
        <f t="shared" si="3"/>
        <v>0</v>
      </c>
      <c r="M71" s="2604">
        <v>0</v>
      </c>
      <c r="N71" s="2605">
        <f t="shared" si="0"/>
        <v>0</v>
      </c>
      <c r="O71" s="786"/>
    </row>
    <row r="72" spans="2:15">
      <c r="B72" s="788">
        <f t="shared" si="2"/>
        <v>31</v>
      </c>
      <c r="C72" s="837"/>
      <c r="D72" s="783" t="str">
        <f>+D60</f>
        <v xml:space="preserve">  General Plant   </v>
      </c>
      <c r="E72" s="786" t="str">
        <f>"(Worksheet A-2 ln "&amp;'PSO WS A-2 Accumulated Depn'!A44&amp;".B)"</f>
        <v>(Worksheet A-2 ln 28.B)</v>
      </c>
      <c r="F72" s="836"/>
      <c r="G72" s="814">
        <f>+'PSO WS A-2 Accumulated Depn'!C44</f>
        <v>44607279</v>
      </c>
      <c r="H72" s="814"/>
      <c r="I72" s="805" t="s">
        <v>274</v>
      </c>
      <c r="J72" s="806">
        <f>+$L$221</f>
        <v>7.834466905550759E-2</v>
      </c>
      <c r="K72" s="786"/>
      <c r="L72" s="814">
        <f t="shared" si="3"/>
        <v>3494742.5107216937</v>
      </c>
      <c r="M72" s="2604">
        <v>3494742.5107216937</v>
      </c>
      <c r="N72" s="2605">
        <f t="shared" si="0"/>
        <v>0</v>
      </c>
      <c r="O72" s="786"/>
    </row>
    <row r="73" spans="2:15">
      <c r="B73" s="788">
        <f t="shared" si="2"/>
        <v>32</v>
      </c>
      <c r="C73" s="837"/>
      <c r="D73" s="835" t="s">
        <v>18</v>
      </c>
      <c r="E73" s="786" t="str">
        <f>"(Worksheet A-2 ln "&amp;'PSO WS A-2 Accumulated Depn'!A44&amp;".C)"</f>
        <v>(Worksheet A-2 ln 28.C)</v>
      </c>
      <c r="F73" s="836"/>
      <c r="G73" s="814">
        <f>-'PSO WS A-2 Accumulated Depn'!D44</f>
        <v>-425973.5</v>
      </c>
      <c r="H73" s="814"/>
      <c r="I73" s="805" t="s">
        <v>274</v>
      </c>
      <c r="J73" s="806">
        <f>+$L$221</f>
        <v>7.834466905550759E-2</v>
      </c>
      <c r="K73" s="786"/>
      <c r="L73" s="814">
        <f t="shared" si="3"/>
        <v>-33372.752883916262</v>
      </c>
      <c r="M73" s="2604">
        <v>-33372.752883916262</v>
      </c>
      <c r="N73" s="2605">
        <f t="shared" si="0"/>
        <v>0</v>
      </c>
      <c r="O73" s="786"/>
    </row>
    <row r="74" spans="2:15" ht="18.75" thickBot="1">
      <c r="B74" s="788">
        <f t="shared" si="2"/>
        <v>33</v>
      </c>
      <c r="C74" s="837"/>
      <c r="D74" s="783" t="str">
        <f>+D62</f>
        <v xml:space="preserve">  Intangible Plant</v>
      </c>
      <c r="E74" s="786" t="str">
        <f>"(Worksheet A-2 ln "&amp;'PSO WS A-2 Accumulated Depn'!A44&amp;".D)"</f>
        <v>(Worksheet A-2 ln 28.D)</v>
      </c>
      <c r="F74" s="836"/>
      <c r="G74" s="843">
        <f>+'PSO WS A-2 Accumulated Depn'!E44</f>
        <v>41965356</v>
      </c>
      <c r="H74" s="814"/>
      <c r="I74" s="805" t="s">
        <v>274</v>
      </c>
      <c r="J74" s="806">
        <f>+$L$221</f>
        <v>7.834466905550759E-2</v>
      </c>
      <c r="K74" s="786"/>
      <c r="L74" s="843">
        <f t="shared" si="3"/>
        <v>3287761.9276165599</v>
      </c>
      <c r="M74" s="2604">
        <v>3287761.9276165599</v>
      </c>
      <c r="N74" s="2605">
        <f t="shared" si="0"/>
        <v>0</v>
      </c>
      <c r="O74" s="786"/>
    </row>
    <row r="75" spans="2:15">
      <c r="B75" s="788">
        <f t="shared" si="2"/>
        <v>34</v>
      </c>
      <c r="C75" s="837"/>
      <c r="D75" s="783" t="s">
        <v>226</v>
      </c>
      <c r="E75" s="855" t="str">
        <f>"(sum lns "&amp;B66&amp;" to "&amp;B74&amp;")"</f>
        <v>(sum lns 25 to 33)</v>
      </c>
      <c r="F75" s="856"/>
      <c r="G75" s="814">
        <f>SUM(G66:G74)</f>
        <v>1572015876.5</v>
      </c>
      <c r="H75" s="814"/>
      <c r="I75" s="805"/>
      <c r="J75" s="786"/>
      <c r="K75" s="814"/>
      <c r="L75" s="814">
        <f>SUM(L66:L74)</f>
        <v>188729879.79616871</v>
      </c>
      <c r="M75" s="2604">
        <v>188729879.79616871</v>
      </c>
      <c r="N75" s="2605">
        <f t="shared" si="0"/>
        <v>0</v>
      </c>
      <c r="O75" s="786"/>
    </row>
    <row r="76" spans="2:15">
      <c r="B76" s="788"/>
      <c r="C76" s="789"/>
      <c r="E76" s="857"/>
      <c r="F76" s="856"/>
      <c r="G76" s="814"/>
      <c r="H76" s="814"/>
      <c r="I76" s="805"/>
      <c r="J76" s="858"/>
      <c r="K76" s="786"/>
      <c r="L76" s="814"/>
      <c r="M76" s="2604"/>
      <c r="N76" s="2605">
        <f t="shared" si="0"/>
        <v>0</v>
      </c>
      <c r="O76" s="786"/>
    </row>
    <row r="77" spans="2:15">
      <c r="B77" s="788">
        <f>+B75+1</f>
        <v>35</v>
      </c>
      <c r="C77" s="789"/>
      <c r="D77" s="783" t="s">
        <v>230</v>
      </c>
      <c r="E77" s="834"/>
      <c r="F77" s="834"/>
      <c r="G77" s="814"/>
      <c r="H77" s="814"/>
      <c r="I77" s="805"/>
      <c r="J77" s="786"/>
      <c r="K77" s="786"/>
      <c r="L77" s="814"/>
      <c r="M77" s="2604"/>
      <c r="N77" s="2605">
        <f t="shared" ref="N77:N140" si="4">+L77-M77</f>
        <v>0</v>
      </c>
      <c r="O77" s="786"/>
    </row>
    <row r="78" spans="2:15">
      <c r="B78" s="825">
        <f t="shared" ref="B78:B83" si="5">+B77+1</f>
        <v>36</v>
      </c>
      <c r="C78" s="837"/>
      <c r="D78" s="835" t="str">
        <f>+D66</f>
        <v xml:space="preserve">  Production</v>
      </c>
      <c r="E78" s="786" t="str">
        <f>" (ln "&amp;B54&amp;" + ln "&amp;B55&amp;" - ln "&amp;B66&amp;" - ln "&amp;B67&amp;")"</f>
        <v xml:space="preserve"> (ln 14 + ln 15 - ln 25 - ln 26)</v>
      </c>
      <c r="F78" s="786"/>
      <c r="G78" s="814">
        <f>G54+G55-G66-G67</f>
        <v>864629266</v>
      </c>
      <c r="H78" s="814"/>
      <c r="I78" s="805"/>
      <c r="J78" s="859"/>
      <c r="K78" s="786"/>
      <c r="L78" s="814">
        <f>L54+L55-L66-L67</f>
        <v>0</v>
      </c>
      <c r="M78" s="2604">
        <v>0</v>
      </c>
      <c r="N78" s="2605">
        <f t="shared" si="4"/>
        <v>0</v>
      </c>
      <c r="O78" s="786"/>
    </row>
    <row r="79" spans="2:15">
      <c r="B79" s="825">
        <f t="shared" si="5"/>
        <v>37</v>
      </c>
      <c r="C79" s="837"/>
      <c r="D79" s="835" t="str">
        <f>+D68</f>
        <v xml:space="preserve">  Transmission</v>
      </c>
      <c r="E79" s="786" t="str">
        <f>" (ln "&amp;B56&amp;" + ln "&amp;B57&amp;" - ln "&amp;B68&amp;" - ln "&amp;B69&amp;")"</f>
        <v xml:space="preserve"> (ln 16 + ln 17 - ln 27 - ln 28)</v>
      </c>
      <c r="F79" s="836"/>
      <c r="G79" s="814">
        <f>+G56+G57-G68-G69</f>
        <v>667417846.5</v>
      </c>
      <c r="H79" s="814"/>
      <c r="I79" s="805"/>
      <c r="J79" s="854"/>
      <c r="K79" s="786"/>
      <c r="L79" s="814">
        <f>+L56+L57-L68-L69</f>
        <v>620656166.35159492</v>
      </c>
      <c r="M79" s="2604">
        <v>620656166.35159492</v>
      </c>
      <c r="N79" s="2605">
        <f t="shared" si="4"/>
        <v>0</v>
      </c>
      <c r="O79" s="786"/>
    </row>
    <row r="80" spans="2:15">
      <c r="B80" s="825">
        <f>+B79+1</f>
        <v>38</v>
      </c>
      <c r="C80" s="837"/>
      <c r="D80" s="835" t="str">
        <f>+D70</f>
        <v xml:space="preserve">  Distribution</v>
      </c>
      <c r="E80" s="786" t="str">
        <f>" (ln "&amp;B58&amp;" + ln "&amp;B59&amp;" - ln "&amp;B70&amp;" - ln "&amp;B71&amp;")"</f>
        <v xml:space="preserve"> (ln 18 + ln 19 - ln 29 - ln 30)</v>
      </c>
      <c r="F80" s="786"/>
      <c r="G80" s="814">
        <f>+G58+G59-G70-G71</f>
        <v>1906851187.5</v>
      </c>
      <c r="H80" s="814"/>
      <c r="I80" s="805"/>
      <c r="J80" s="858"/>
      <c r="K80" s="786"/>
      <c r="L80" s="814">
        <f>+L58+L59-L70-L71</f>
        <v>0</v>
      </c>
      <c r="M80" s="2604">
        <v>0</v>
      </c>
      <c r="N80" s="2605">
        <f t="shared" si="4"/>
        <v>0</v>
      </c>
      <c r="O80" s="786"/>
    </row>
    <row r="81" spans="2:15">
      <c r="B81" s="825">
        <f t="shared" si="5"/>
        <v>39</v>
      </c>
      <c r="C81" s="837"/>
      <c r="D81" s="835" t="str">
        <f>+D72</f>
        <v xml:space="preserve">  General Plant   </v>
      </c>
      <c r="E81" s="786" t="str">
        <f>" (ln "&amp;B60&amp;" + ln "&amp;B61&amp;" - ln "&amp;B72&amp;" - ln "&amp;B73&amp;")"</f>
        <v xml:space="preserve"> (ln 20 + ln 21 - ln 31 - ln 32)</v>
      </c>
      <c r="F81" s="786"/>
      <c r="G81" s="814">
        <f>+G60+G61-G72-G73</f>
        <v>121545351</v>
      </c>
      <c r="H81" s="814"/>
      <c r="I81" s="805"/>
      <c r="J81" s="858"/>
      <c r="K81" s="786"/>
      <c r="L81" s="814">
        <f>+L60+L61-L72-L73</f>
        <v>9522430.2993305083</v>
      </c>
      <c r="M81" s="2604">
        <v>9522430.2993305083</v>
      </c>
      <c r="N81" s="2605">
        <f t="shared" si="4"/>
        <v>0</v>
      </c>
      <c r="O81" s="786"/>
    </row>
    <row r="82" spans="2:15" ht="18.75" thickBot="1">
      <c r="B82" s="825">
        <f t="shared" si="5"/>
        <v>40</v>
      </c>
      <c r="C82" s="837"/>
      <c r="D82" s="835" t="str">
        <f>+D74</f>
        <v xml:space="preserve">  Intangible Plant</v>
      </c>
      <c r="E82" s="786" t="str">
        <f>" (ln "&amp;B62&amp;" - ln "&amp;B74&amp;")"</f>
        <v xml:space="preserve"> (ln 22 - ln 33)</v>
      </c>
      <c r="F82" s="786"/>
      <c r="G82" s="843">
        <f>+G62-G74</f>
        <v>60493061.5</v>
      </c>
      <c r="H82" s="814"/>
      <c r="I82" s="805"/>
      <c r="J82" s="858"/>
      <c r="K82" s="786"/>
      <c r="L82" s="843">
        <f>+L62-L74</f>
        <v>4739308.8833719678</v>
      </c>
      <c r="M82" s="2604">
        <v>4739308.8833719678</v>
      </c>
      <c r="N82" s="2605">
        <f t="shared" si="4"/>
        <v>0</v>
      </c>
      <c r="O82" s="786"/>
    </row>
    <row r="83" spans="2:15">
      <c r="B83" s="825">
        <f t="shared" si="5"/>
        <v>41</v>
      </c>
      <c r="C83" s="837"/>
      <c r="D83" s="835" t="s">
        <v>225</v>
      </c>
      <c r="E83" s="835" t="str">
        <f>"(sum lns "&amp;B78&amp;" to "&amp;B82&amp;")"</f>
        <v>(sum lns 36 to 40)</v>
      </c>
      <c r="F83" s="786"/>
      <c r="G83" s="814">
        <f>SUM(G78:G82)</f>
        <v>3620936712.5</v>
      </c>
      <c r="H83" s="814"/>
      <c r="I83" s="826" t="s">
        <v>867</v>
      </c>
      <c r="J83" s="845">
        <f>IF(G83=0,0,L83/G83)</f>
        <v>0.17534631393652048</v>
      </c>
      <c r="K83" s="786"/>
      <c r="L83" s="814">
        <f>SUM(L79:L82)</f>
        <v>634917905.53429735</v>
      </c>
      <c r="M83" s="2604">
        <v>634917905.53429735</v>
      </c>
      <c r="N83" s="2605">
        <f t="shared" si="4"/>
        <v>0</v>
      </c>
      <c r="O83" s="786"/>
    </row>
    <row r="84" spans="2:15">
      <c r="B84" s="788"/>
      <c r="C84" s="789"/>
      <c r="D84" s="783"/>
      <c r="E84" s="786"/>
      <c r="F84" s="786"/>
      <c r="G84" s="814"/>
      <c r="H84" s="814"/>
      <c r="J84" s="860"/>
      <c r="K84" s="786"/>
      <c r="L84" s="814"/>
      <c r="M84" s="2604"/>
      <c r="N84" s="2605">
        <f t="shared" si="4"/>
        <v>0</v>
      </c>
      <c r="O84" s="786"/>
    </row>
    <row r="85" spans="2:15">
      <c r="B85" s="788"/>
      <c r="C85" s="789"/>
      <c r="G85" s="791"/>
      <c r="H85" s="791"/>
      <c r="I85" s="791"/>
      <c r="J85" s="791"/>
      <c r="K85" s="791"/>
      <c r="L85" s="791"/>
      <c r="M85" s="2604"/>
      <c r="N85" s="2605">
        <f t="shared" si="4"/>
        <v>0</v>
      </c>
      <c r="O85" s="786"/>
    </row>
    <row r="86" spans="2:15">
      <c r="B86" s="788">
        <f>+B83+1</f>
        <v>42</v>
      </c>
      <c r="C86" s="789"/>
      <c r="D86" s="783" t="s">
        <v>400</v>
      </c>
      <c r="E86" s="786" t="s">
        <v>178</v>
      </c>
      <c r="F86" s="805"/>
      <c r="G86" s="791"/>
      <c r="H86" s="791"/>
      <c r="I86" s="791"/>
      <c r="J86" s="791"/>
      <c r="K86" s="791"/>
      <c r="L86" s="791"/>
      <c r="M86" s="2604"/>
      <c r="N86" s="2605">
        <f t="shared" si="4"/>
        <v>0</v>
      </c>
      <c r="O86" s="786"/>
    </row>
    <row r="87" spans="2:15">
      <c r="B87" s="825">
        <f t="shared" ref="B87:B92" si="6">+B86+1</f>
        <v>43</v>
      </c>
      <c r="C87" s="837"/>
      <c r="D87" s="835" t="s">
        <v>332</v>
      </c>
      <c r="E87" s="786" t="s">
        <v>35</v>
      </c>
      <c r="F87" s="786"/>
      <c r="G87" s="814">
        <v>0</v>
      </c>
      <c r="H87" s="814"/>
      <c r="I87" s="805" t="s">
        <v>269</v>
      </c>
      <c r="J87" s="806"/>
      <c r="K87" s="786"/>
      <c r="L87" s="814">
        <v>0</v>
      </c>
      <c r="M87" s="2604">
        <v>0</v>
      </c>
      <c r="N87" s="2605">
        <f t="shared" si="4"/>
        <v>0</v>
      </c>
      <c r="O87" s="786"/>
    </row>
    <row r="88" spans="2:15">
      <c r="B88" s="825">
        <f t="shared" si="6"/>
        <v>44</v>
      </c>
      <c r="C88" s="837"/>
      <c r="D88" s="835" t="s">
        <v>333</v>
      </c>
      <c r="E88" s="786" t="str">
        <f>"(Worksheet C, ln "&amp;'PSO WS C ADIT &amp; ADITC'!A23&amp;" C &amp; ln "&amp;'PSO WS C ADIT &amp; ADITC'!A27&amp;" J)"</f>
        <v>(Worksheet C, ln 4 C &amp; ln 8 J)</v>
      </c>
      <c r="F88" s="836"/>
      <c r="G88" s="814">
        <f>'PSO WS C ADIT &amp; ADITC'!D23</f>
        <v>-1012439335.605</v>
      </c>
      <c r="H88" s="814"/>
      <c r="I88" s="805" t="s">
        <v>271</v>
      </c>
      <c r="J88" s="806"/>
      <c r="K88" s="786"/>
      <c r="L88" s="814">
        <f>'PSO WS C ADIT &amp; ADITC'!J27</f>
        <v>-167840658.37031096</v>
      </c>
      <c r="M88" s="2604">
        <v>-176920506.25242448</v>
      </c>
      <c r="N88" s="2605">
        <f t="shared" si="4"/>
        <v>9079847.8821135163</v>
      </c>
      <c r="O88" s="786"/>
    </row>
    <row r="89" spans="2:15">
      <c r="B89" s="825">
        <f t="shared" si="6"/>
        <v>45</v>
      </c>
      <c r="C89" s="837"/>
      <c r="D89" s="835" t="s">
        <v>334</v>
      </c>
      <c r="E89" s="786" t="str">
        <f>"(Worksheet C, ln "&amp;'PSO WS C ADIT &amp; ADITC'!A36&amp;" C &amp; ln "&amp;'PSO WS C ADIT &amp; ADITC'!A38&amp;" J)"</f>
        <v>(Worksheet C, ln 12 C &amp; ln 14 J)</v>
      </c>
      <c r="F89" s="836"/>
      <c r="G89" s="814">
        <f>'PSO WS C ADIT &amp; ADITC'!D36</f>
        <v>-254871151.30499998</v>
      </c>
      <c r="H89" s="814"/>
      <c r="I89" s="805" t="s">
        <v>271</v>
      </c>
      <c r="J89" s="806"/>
      <c r="K89" s="786"/>
      <c r="L89" s="814">
        <f>'PSO WS C ADIT &amp; ADITC'!J38</f>
        <v>-28001169.921513397</v>
      </c>
      <c r="M89" s="2604">
        <v>-24558164.808681712</v>
      </c>
      <c r="N89" s="2605">
        <f t="shared" si="4"/>
        <v>-3443005.1128316857</v>
      </c>
      <c r="O89" s="786"/>
    </row>
    <row r="90" spans="2:15">
      <c r="B90" s="825">
        <f t="shared" si="6"/>
        <v>46</v>
      </c>
      <c r="C90" s="837"/>
      <c r="D90" s="835" t="s">
        <v>335</v>
      </c>
      <c r="E90" s="786" t="str">
        <f>"(Worksheet C, ln "&amp;'PSO WS C ADIT &amp; ADITC'!A48&amp;" C &amp; ln "&amp;'PSO WS C ADIT &amp; ADITC'!A52&amp;" J)"</f>
        <v>(Worksheet C, ln 18 C &amp; ln 22 J)</v>
      </c>
      <c r="F90" s="836"/>
      <c r="G90" s="814">
        <f>+'PSO WS C ADIT &amp; ADITC'!D48</f>
        <v>134985359.02999997</v>
      </c>
      <c r="H90" s="814"/>
      <c r="I90" s="805" t="s">
        <v>271</v>
      </c>
      <c r="J90" s="806"/>
      <c r="K90" s="786"/>
      <c r="L90" s="814">
        <f>+'PSO WS C ADIT &amp; ADITC'!J52</f>
        <v>8610692.0232736673</v>
      </c>
      <c r="M90" s="2604">
        <v>8610692.0232736673</v>
      </c>
      <c r="N90" s="2605">
        <f t="shared" si="4"/>
        <v>0</v>
      </c>
      <c r="O90" s="786"/>
    </row>
    <row r="91" spans="2:15" ht="18.75" thickBot="1">
      <c r="B91" s="825">
        <f t="shared" si="6"/>
        <v>47</v>
      </c>
      <c r="C91" s="837"/>
      <c r="D91" s="658" t="s">
        <v>276</v>
      </c>
      <c r="E91" s="786" t="str">
        <f>"(Worksheet C, ln "&amp;'PSO WS C ADIT &amp; ADITC'!A62&amp;" C &amp; ln "&amp;'PSO WS C ADIT &amp; ADITC'!A64&amp;" J)"</f>
        <v>(Worksheet C, ln 26 C &amp; ln 28 J)</v>
      </c>
      <c r="F91" s="682"/>
      <c r="G91" s="843">
        <f>'PSO WS C ADIT &amp; ADITC'!D62</f>
        <v>2712.5</v>
      </c>
      <c r="H91" s="814"/>
      <c r="I91" s="805" t="s">
        <v>271</v>
      </c>
      <c r="J91" s="806"/>
      <c r="K91" s="786"/>
      <c r="L91" s="843">
        <f>'PSO WS C ADIT &amp; ADITC'!J64</f>
        <v>282.7201196601481</v>
      </c>
      <c r="M91" s="2604">
        <v>282.7201196601481</v>
      </c>
      <c r="N91" s="2605">
        <f t="shared" si="4"/>
        <v>0</v>
      </c>
      <c r="O91" s="786"/>
    </row>
    <row r="92" spans="2:15">
      <c r="B92" s="825">
        <f t="shared" si="6"/>
        <v>48</v>
      </c>
      <c r="C92" s="837"/>
      <c r="D92" s="835" t="s">
        <v>239</v>
      </c>
      <c r="E92" s="835" t="str">
        <f>"(sum lns "&amp;B87&amp;" to "&amp;B91&amp;")"</f>
        <v>(sum lns 43 to 47)</v>
      </c>
      <c r="F92" s="786"/>
      <c r="G92" s="814">
        <f>SUM(G87:G91)</f>
        <v>-1132322415.3800001</v>
      </c>
      <c r="H92" s="791"/>
      <c r="I92" s="805"/>
      <c r="J92" s="819"/>
      <c r="K92" s="786"/>
      <c r="L92" s="814">
        <f>SUM(L87:L91)</f>
        <v>-187230853.54843104</v>
      </c>
      <c r="M92" s="2604">
        <v>-192867696.31771287</v>
      </c>
      <c r="N92" s="2605">
        <f t="shared" si="4"/>
        <v>5636842.7692818344</v>
      </c>
    </row>
    <row r="93" spans="2:15">
      <c r="B93" s="788"/>
      <c r="C93" s="789"/>
      <c r="D93" s="835"/>
      <c r="E93" s="786"/>
      <c r="F93" s="786"/>
      <c r="G93" s="814"/>
      <c r="H93" s="791"/>
      <c r="I93" s="805"/>
      <c r="J93" s="858"/>
      <c r="K93" s="786"/>
      <c r="L93" s="814"/>
      <c r="M93" s="2604"/>
      <c r="N93" s="2605">
        <f t="shared" si="4"/>
        <v>0</v>
      </c>
    </row>
    <row r="94" spans="2:15">
      <c r="B94" s="788">
        <f>+B92+1</f>
        <v>49</v>
      </c>
      <c r="C94" s="789"/>
      <c r="D94" s="835" t="s">
        <v>345</v>
      </c>
      <c r="E94" s="786" t="str">
        <f>"(Worksheet A-1 ln "&amp;'PSO WS A-1 - Plant'!A53&amp;".F)"</f>
        <v>(Worksheet A-1 ln 30.F)</v>
      </c>
      <c r="F94" s="786"/>
      <c r="G94" s="814">
        <f>+'PSO WS A-1 - Plant'!I53</f>
        <v>302647</v>
      </c>
      <c r="H94" s="791"/>
      <c r="I94" s="805" t="s">
        <v>271</v>
      </c>
      <c r="J94" s="806"/>
      <c r="K94" s="786"/>
      <c r="L94" s="814">
        <f>+G94</f>
        <v>302647</v>
      </c>
      <c r="M94" s="2604">
        <v>302647</v>
      </c>
      <c r="N94" s="2605">
        <f t="shared" si="4"/>
        <v>0</v>
      </c>
    </row>
    <row r="95" spans="2:15">
      <c r="B95" s="788"/>
      <c r="C95" s="789"/>
      <c r="D95" s="835"/>
      <c r="E95" s="786"/>
      <c r="F95" s="786"/>
      <c r="G95" s="814"/>
      <c r="H95" s="791"/>
      <c r="I95" s="805"/>
      <c r="J95" s="806"/>
      <c r="K95" s="786"/>
      <c r="L95" s="814"/>
      <c r="M95" s="2604"/>
      <c r="N95" s="2605">
        <f t="shared" si="4"/>
        <v>0</v>
      </c>
    </row>
    <row r="96" spans="2:15">
      <c r="B96" s="788">
        <f>+B94+1</f>
        <v>50</v>
      </c>
      <c r="C96" s="789"/>
      <c r="D96" s="835" t="s">
        <v>869</v>
      </c>
      <c r="E96" s="786" t="str">
        <f>"(Worksheet S ln "&amp;'PSO WS S Reg Assets'!B45&amp;" cols. G and J) (Note W)"</f>
        <v>(Worksheet S ln 10 cols. G and J) (Note W)</v>
      </c>
      <c r="F96" s="786"/>
      <c r="G96" s="814">
        <f>+'PSO WS S Reg Assets'!K45</f>
        <v>0</v>
      </c>
      <c r="H96" s="791"/>
      <c r="I96" s="805" t="s">
        <v>271</v>
      </c>
      <c r="J96" s="806"/>
      <c r="K96" s="786"/>
      <c r="L96" s="814">
        <f>+'PSO WS S Reg Assets'!N45</f>
        <v>0</v>
      </c>
      <c r="M96" s="2604">
        <v>0</v>
      </c>
      <c r="N96" s="2605">
        <f t="shared" si="4"/>
        <v>0</v>
      </c>
    </row>
    <row r="97" spans="2:14">
      <c r="B97" s="788"/>
      <c r="C97" s="789"/>
      <c r="D97" s="835"/>
      <c r="E97" s="786"/>
      <c r="F97" s="786"/>
      <c r="G97" s="814"/>
      <c r="H97" s="791"/>
      <c r="I97" s="805"/>
      <c r="J97" s="806"/>
      <c r="K97" s="786"/>
      <c r="L97" s="814"/>
      <c r="M97" s="2604"/>
      <c r="N97" s="2605">
        <f t="shared" si="4"/>
        <v>0</v>
      </c>
    </row>
    <row r="98" spans="2:14">
      <c r="B98" s="825">
        <f>+B96+1</f>
        <v>51</v>
      </c>
      <c r="C98" s="837"/>
      <c r="D98" s="835" t="s">
        <v>1285</v>
      </c>
      <c r="E98" s="786" t="str">
        <f>"(Worksheet R, ln "&amp;'PSO WS R Unfunded Reserves'!A16&amp;" F)"</f>
        <v>(Worksheet R, ln 6 F)</v>
      </c>
      <c r="F98" s="836"/>
      <c r="G98" s="814">
        <f>-'PSO WS R Unfunded Reserves'!H16</f>
        <v>-149509.00150000001</v>
      </c>
      <c r="H98" s="791"/>
      <c r="I98" s="805" t="s">
        <v>274</v>
      </c>
      <c r="J98" s="806">
        <f>+$L$221</f>
        <v>7.834466905550759E-2</v>
      </c>
      <c r="K98" s="786"/>
      <c r="L98" s="814">
        <f>+J98*G98</f>
        <v>-11713.233243336888</v>
      </c>
      <c r="M98" s="2604">
        <v>-11713.233243336888</v>
      </c>
      <c r="N98" s="2605">
        <f t="shared" si="4"/>
        <v>0</v>
      </c>
    </row>
    <row r="99" spans="2:14">
      <c r="B99" s="788"/>
      <c r="C99" s="789"/>
      <c r="D99" s="835"/>
      <c r="E99" s="786"/>
      <c r="F99" s="786"/>
      <c r="G99" s="814"/>
      <c r="H99" s="791"/>
      <c r="I99" s="805"/>
      <c r="J99" s="806"/>
      <c r="K99" s="786"/>
      <c r="L99" s="814"/>
      <c r="M99" s="2604"/>
      <c r="N99" s="2605">
        <f t="shared" si="4"/>
        <v>0</v>
      </c>
    </row>
    <row r="100" spans="2:14">
      <c r="B100" s="788">
        <f>+B98+1</f>
        <v>52</v>
      </c>
      <c r="C100" s="789"/>
      <c r="D100" s="835" t="s">
        <v>240</v>
      </c>
      <c r="E100" s="786" t="s">
        <v>145</v>
      </c>
      <c r="F100" s="786"/>
      <c r="G100" s="814"/>
      <c r="H100" s="791"/>
      <c r="I100" s="805"/>
      <c r="J100" s="786"/>
      <c r="K100" s="786"/>
      <c r="L100" s="814"/>
      <c r="M100" s="2604"/>
      <c r="N100" s="2605">
        <f t="shared" si="4"/>
        <v>0</v>
      </c>
    </row>
    <row r="101" spans="2:14">
      <c r="B101" s="825">
        <f t="shared" ref="B101:B109" si="7">+B100+1</f>
        <v>53</v>
      </c>
      <c r="C101" s="837"/>
      <c r="D101" s="835" t="s">
        <v>344</v>
      </c>
      <c r="E101" s="662" t="str">
        <f>"(1/8 * (ln "&amp;B134&amp;" - Ln "&amp;B133&amp;")) (Note G)"</f>
        <v>(1/8 * (ln 70 - Ln 69)) (Note G)</v>
      </c>
      <c r="G101" s="814">
        <f>(+G134-G133)/8</f>
        <v>2019339.3567499979</v>
      </c>
      <c r="H101" s="786"/>
      <c r="I101" s="805"/>
      <c r="J101" s="858"/>
      <c r="K101" s="786"/>
      <c r="L101" s="814">
        <f>+L134/8</f>
        <v>1936224.7991968617</v>
      </c>
      <c r="M101" s="2604">
        <v>1936224.7991968617</v>
      </c>
      <c r="N101" s="2605">
        <f t="shared" si="4"/>
        <v>0</v>
      </c>
    </row>
    <row r="102" spans="2:14">
      <c r="B102" s="825">
        <f t="shared" si="7"/>
        <v>54</v>
      </c>
      <c r="C102" s="837"/>
      <c r="D102" s="835" t="s">
        <v>405</v>
      </c>
      <c r="E102" s="786" t="str">
        <f>"(Worksheet D, pg 1 ln "&amp;'PSO WS D Working Capital'!A16&amp;" E)"</f>
        <v>(Worksheet D, pg 1 ln 1 E)</v>
      </c>
      <c r="F102" s="836"/>
      <c r="G102" s="814">
        <f>+'PSO WS D Working Capital'!G16</f>
        <v>1062416.5</v>
      </c>
      <c r="H102" s="791"/>
      <c r="I102" s="805" t="s">
        <v>262</v>
      </c>
      <c r="J102" s="806">
        <f>+$L$211</f>
        <v>0.91665491036461699</v>
      </c>
      <c r="K102" s="786"/>
      <c r="L102" s="814">
        <f>+J102*G102</f>
        <v>973869.30157739006</v>
      </c>
      <c r="M102" s="2604">
        <v>973869.30157739006</v>
      </c>
      <c r="N102" s="2605">
        <f t="shared" si="4"/>
        <v>0</v>
      </c>
    </row>
    <row r="103" spans="2:14">
      <c r="B103" s="825">
        <f t="shared" si="7"/>
        <v>55</v>
      </c>
      <c r="C103" s="837"/>
      <c r="D103" s="835" t="s">
        <v>406</v>
      </c>
      <c r="E103" s="786" t="str">
        <f>"(Worksheet D, pg 1 ln "&amp;'PSO WS D Working Capital'!A17&amp;" E)"</f>
        <v>(Worksheet D, pg 1 ln 2 E)</v>
      </c>
      <c r="F103" s="836"/>
      <c r="G103" s="814">
        <f>+'PSO WS D Working Capital'!G17</f>
        <v>311278</v>
      </c>
      <c r="H103" s="791"/>
      <c r="I103" s="805" t="s">
        <v>274</v>
      </c>
      <c r="J103" s="806">
        <f>+$L$221</f>
        <v>7.834466905550759E-2</v>
      </c>
      <c r="K103" s="786"/>
      <c r="L103" s="814">
        <f>+J103*G103</f>
        <v>24386.971894260292</v>
      </c>
      <c r="M103" s="2604">
        <v>24386.971894260292</v>
      </c>
      <c r="N103" s="2605">
        <f t="shared" si="4"/>
        <v>0</v>
      </c>
    </row>
    <row r="104" spans="2:14">
      <c r="B104" s="825">
        <f t="shared" si="7"/>
        <v>56</v>
      </c>
      <c r="C104" s="837"/>
      <c r="D104" s="835" t="s">
        <v>199</v>
      </c>
      <c r="E104" s="786" t="str">
        <f>"(Worksheet D, pg 1 ln "&amp;'PSO WS D Working Capital'!A18&amp;" E)"</f>
        <v>(Worksheet D, pg 1 ln 3 E)</v>
      </c>
      <c r="F104" s="836"/>
      <c r="G104" s="814">
        <f>+'PSO WS D Working Capital'!G18</f>
        <v>0</v>
      </c>
      <c r="H104" s="791"/>
      <c r="I104" s="823" t="s">
        <v>865</v>
      </c>
      <c r="J104" s="806">
        <f>+$J$63</f>
        <v>0.15860876278269179</v>
      </c>
      <c r="K104" s="786"/>
      <c r="L104" s="814">
        <f>+J104*G104</f>
        <v>0</v>
      </c>
      <c r="M104" s="2604">
        <v>0</v>
      </c>
      <c r="N104" s="2605">
        <f t="shared" si="4"/>
        <v>0</v>
      </c>
    </row>
    <row r="105" spans="2:14">
      <c r="B105" s="825">
        <f t="shared" si="7"/>
        <v>57</v>
      </c>
      <c r="C105" s="837"/>
      <c r="D105" s="835" t="s">
        <v>349</v>
      </c>
      <c r="E105" s="786" t="str">
        <f>"(Worksheet D, pg 1 ln "&amp;'PSO WS D Working Capital'!A51&amp;" G)"</f>
        <v>(Worksheet D, pg 1 ln 29 G)</v>
      </c>
      <c r="F105" s="836"/>
      <c r="G105" s="814">
        <f>+'PSO WS D Working Capital'!J51</f>
        <v>114457275</v>
      </c>
      <c r="H105" s="791"/>
      <c r="I105" s="805" t="s">
        <v>274</v>
      </c>
      <c r="J105" s="806">
        <f>+$L$221</f>
        <v>7.834466905550759E-2</v>
      </c>
      <c r="K105" s="786"/>
      <c r="L105" s="814">
        <f>+J105*G105</f>
        <v>8967117.3308702223</v>
      </c>
      <c r="M105" s="2604">
        <v>8967117.3308702223</v>
      </c>
      <c r="N105" s="2605">
        <f t="shared" si="4"/>
        <v>0</v>
      </c>
    </row>
    <row r="106" spans="2:14">
      <c r="B106" s="825">
        <f t="shared" si="7"/>
        <v>58</v>
      </c>
      <c r="C106" s="837"/>
      <c r="D106" s="835" t="s">
        <v>350</v>
      </c>
      <c r="E106" s="786" t="str">
        <f>"(Worksheet D, pg 1 ln "&amp;'PSO WS D Working Capital'!A51&amp;" F)"</f>
        <v>(Worksheet D, pg 1 ln 29 F)</v>
      </c>
      <c r="F106" s="836"/>
      <c r="G106" s="814">
        <f>+'PSO WS D Working Capital'!I51</f>
        <v>2685238.4249999998</v>
      </c>
      <c r="H106" s="791"/>
      <c r="I106" s="823" t="s">
        <v>865</v>
      </c>
      <c r="J106" s="806">
        <f>+$J$63</f>
        <v>0.15860876278269179</v>
      </c>
      <c r="K106" s="786"/>
      <c r="L106" s="814">
        <f>+G106*J106</f>
        <v>425902.34436579386</v>
      </c>
      <c r="M106" s="2604">
        <v>425902.34436579386</v>
      </c>
      <c r="N106" s="2605">
        <f t="shared" si="4"/>
        <v>0</v>
      </c>
    </row>
    <row r="107" spans="2:14">
      <c r="B107" s="825">
        <f t="shared" si="7"/>
        <v>59</v>
      </c>
      <c r="C107" s="837"/>
      <c r="D107" s="835" t="s">
        <v>391</v>
      </c>
      <c r="E107" s="786" t="str">
        <f>"(Worksheet D, pg 1 ln "&amp;'PSO WS D Working Capital'!A51&amp;" E)"</f>
        <v>(Worksheet D, pg 1 ln 29 E)</v>
      </c>
      <c r="F107" s="836"/>
      <c r="G107" s="814">
        <f>+'PSO WS D Working Capital'!G51</f>
        <v>0</v>
      </c>
      <c r="H107" s="791"/>
      <c r="I107" s="805" t="s">
        <v>271</v>
      </c>
      <c r="J107" s="806">
        <v>1</v>
      </c>
      <c r="K107" s="786"/>
      <c r="L107" s="814">
        <f>+G107</f>
        <v>0</v>
      </c>
      <c r="M107" s="2604">
        <v>0</v>
      </c>
      <c r="N107" s="2605">
        <f t="shared" si="4"/>
        <v>0</v>
      </c>
    </row>
    <row r="108" spans="2:14" ht="18.75" thickBot="1">
      <c r="B108" s="825">
        <f t="shared" si="7"/>
        <v>60</v>
      </c>
      <c r="C108" s="837"/>
      <c r="D108" s="835" t="s">
        <v>247</v>
      </c>
      <c r="E108" s="786" t="str">
        <f>"(Worksheet D, pg 1 ln "&amp;'PSO WS D Working Capital'!A51&amp;" D)"</f>
        <v>(Worksheet D, pg 1 ln 29 D)</v>
      </c>
      <c r="F108" s="836"/>
      <c r="G108" s="843">
        <f>+'PSO WS D Working Capital'!E51</f>
        <v>-110158711.755</v>
      </c>
      <c r="H108" s="814"/>
      <c r="I108" s="805" t="s">
        <v>269</v>
      </c>
      <c r="J108" s="806">
        <v>0</v>
      </c>
      <c r="K108" s="786"/>
      <c r="L108" s="843">
        <f>+G108*J108</f>
        <v>0</v>
      </c>
      <c r="M108" s="2604">
        <v>0</v>
      </c>
      <c r="N108" s="2605">
        <f t="shared" si="4"/>
        <v>0</v>
      </c>
    </row>
    <row r="109" spans="2:14">
      <c r="B109" s="825">
        <f t="shared" si="7"/>
        <v>61</v>
      </c>
      <c r="C109" s="837"/>
      <c r="D109" s="835" t="s">
        <v>224</v>
      </c>
      <c r="E109" s="835" t="str">
        <f>"(sum lns "&amp;B101&amp;" to "&amp;B108&amp;")"</f>
        <v>(sum lns 53 to 60)</v>
      </c>
      <c r="F109" s="655"/>
      <c r="G109" s="814">
        <f>SUM(G101:G108)</f>
        <v>10376835.526749998</v>
      </c>
      <c r="H109" s="655"/>
      <c r="I109" s="789"/>
      <c r="J109" s="655"/>
      <c r="K109" s="655"/>
      <c r="L109" s="814">
        <f>SUM(L101:L108)</f>
        <v>12327500.747904528</v>
      </c>
      <c r="M109" s="2604">
        <v>12327500.747904528</v>
      </c>
      <c r="N109" s="2605">
        <f t="shared" si="4"/>
        <v>0</v>
      </c>
    </row>
    <row r="110" spans="2:14">
      <c r="B110" s="788"/>
      <c r="C110" s="789"/>
      <c r="D110" s="835"/>
      <c r="E110" s="655"/>
      <c r="F110" s="655"/>
      <c r="G110" s="814"/>
      <c r="H110" s="655"/>
      <c r="I110" s="789"/>
      <c r="J110" s="655"/>
      <c r="K110" s="655"/>
      <c r="L110" s="814"/>
      <c r="M110" s="2604"/>
      <c r="N110" s="2605">
        <f t="shared" si="4"/>
        <v>0</v>
      </c>
    </row>
    <row r="111" spans="2:14">
      <c r="B111" s="788">
        <f>+B109+1</f>
        <v>62</v>
      </c>
      <c r="C111" s="789"/>
      <c r="D111" s="835" t="s">
        <v>213</v>
      </c>
      <c r="E111" s="783" t="str">
        <f>"(Note H) (Worksheet E, ln "&amp;'PSO WS E IPP Credits'!A22&amp;" B)"</f>
        <v>(Note H) (Worksheet E, ln 8 B)</v>
      </c>
      <c r="F111" s="655"/>
      <c r="G111" s="814">
        <f>IF(G63=0,0,-'PSO WS E IPP Credits'!C22)</f>
        <v>-1050066</v>
      </c>
      <c r="H111" s="655"/>
      <c r="I111" s="861" t="s">
        <v>271</v>
      </c>
      <c r="J111" s="806">
        <v>1</v>
      </c>
      <c r="K111" s="786"/>
      <c r="L111" s="814">
        <f>+J111*G111</f>
        <v>-1050066</v>
      </c>
      <c r="M111" s="2604">
        <v>-1050066</v>
      </c>
      <c r="N111" s="2605">
        <f t="shared" si="4"/>
        <v>0</v>
      </c>
    </row>
    <row r="112" spans="2:14" ht="18.75" thickBot="1">
      <c r="D112" s="658"/>
      <c r="E112" s="786"/>
      <c r="F112" s="786"/>
      <c r="G112" s="843"/>
      <c r="H112" s="786"/>
      <c r="I112" s="805"/>
      <c r="J112" s="786"/>
      <c r="K112" s="786"/>
      <c r="L112" s="843"/>
      <c r="M112" s="2604"/>
      <c r="N112" s="2605">
        <f t="shared" si="4"/>
        <v>0</v>
      </c>
    </row>
    <row r="113" spans="2:15" ht="18.75" thickBot="1">
      <c r="B113" s="788">
        <f>+B111+1</f>
        <v>63</v>
      </c>
      <c r="C113" s="789"/>
      <c r="D113" s="783" t="str">
        <f>"RATE BASE  (sum lns "&amp;B83&amp;", "&amp;B92&amp;", "&amp;B94&amp;", "&amp;B96&amp;", "&amp;B98&amp;", "&amp;B109&amp;", "&amp;B111&amp;")"</f>
        <v>RATE BASE  (sum lns 41, 48, 49, 50, 51, 61, 62)</v>
      </c>
      <c r="E113" s="786"/>
      <c r="F113" s="786"/>
      <c r="G113" s="862">
        <f>+G83+G92+G94+G96+G98+G109+G111</f>
        <v>2498094204.6452498</v>
      </c>
      <c r="H113" s="786"/>
      <c r="I113" s="786"/>
      <c r="J113" s="858"/>
      <c r="K113" s="786"/>
      <c r="L113" s="862">
        <f>+L83+L92+L94+L96+L98+L109+L111</f>
        <v>459255420.5005275</v>
      </c>
      <c r="M113" s="2604">
        <v>453618577.73124564</v>
      </c>
      <c r="N113" s="2605">
        <f t="shared" si="4"/>
        <v>5636842.7692818642</v>
      </c>
    </row>
    <row r="114" spans="2:15" ht="18.75" thickTop="1">
      <c r="B114" s="788"/>
      <c r="C114" s="791"/>
      <c r="D114" s="791"/>
      <c r="E114" s="791"/>
      <c r="F114" s="791"/>
      <c r="G114" s="791"/>
      <c r="H114" s="791"/>
      <c r="I114" s="782"/>
      <c r="J114" s="782"/>
      <c r="K114" s="782"/>
      <c r="M114" s="2604"/>
      <c r="N114" s="2605">
        <f t="shared" si="4"/>
        <v>0</v>
      </c>
    </row>
    <row r="115" spans="2:15">
      <c r="B115" s="788"/>
      <c r="C115" s="789"/>
      <c r="D115" s="783"/>
      <c r="E115" s="786"/>
      <c r="F115" s="786"/>
      <c r="G115" s="786"/>
      <c r="H115" s="786"/>
      <c r="I115" s="786"/>
      <c r="J115" s="786"/>
      <c r="K115" s="786"/>
      <c r="L115" s="786"/>
      <c r="M115" s="2604"/>
      <c r="N115" s="2605">
        <f t="shared" si="4"/>
        <v>0</v>
      </c>
    </row>
    <row r="116" spans="2:15">
      <c r="B116" s="788"/>
      <c r="C116" s="789"/>
      <c r="D116" s="783"/>
      <c r="E116" s="786"/>
      <c r="F116" s="805" t="str">
        <f>F42</f>
        <v xml:space="preserve">AEP West SPP Member Operating Companies </v>
      </c>
      <c r="G116" s="805"/>
      <c r="H116" s="786"/>
      <c r="I116" s="786"/>
      <c r="J116" s="786"/>
      <c r="K116" s="786"/>
      <c r="L116" s="786"/>
      <c r="M116" s="2604"/>
      <c r="N116" s="2605">
        <f t="shared" si="4"/>
        <v>0</v>
      </c>
    </row>
    <row r="117" spans="2:15">
      <c r="B117" s="788"/>
      <c r="C117" s="789"/>
      <c r="D117" s="783"/>
      <c r="E117" s="786"/>
      <c r="F117" s="805" t="str">
        <f>F43</f>
        <v>Transmission Cost of Service Formula Rate</v>
      </c>
      <c r="G117" s="805"/>
      <c r="H117" s="786"/>
      <c r="I117" s="786"/>
      <c r="J117" s="786"/>
      <c r="K117" s="786"/>
      <c r="L117" s="786"/>
      <c r="M117" s="2604"/>
      <c r="N117" s="2605">
        <f t="shared" si="4"/>
        <v>0</v>
      </c>
    </row>
    <row r="118" spans="2:15">
      <c r="B118" s="788"/>
      <c r="C118" s="789"/>
      <c r="E118" s="786"/>
      <c r="F118" s="805" t="str">
        <f>F44</f>
        <v>Utilizing Actual / Projected Cost Data for the 2018 Rate Year</v>
      </c>
      <c r="G118" s="786"/>
      <c r="H118" s="786"/>
      <c r="I118" s="786"/>
      <c r="J118" s="786"/>
      <c r="K118" s="786"/>
      <c r="L118" s="786"/>
      <c r="M118" s="2604"/>
      <c r="N118" s="2605">
        <f t="shared" si="4"/>
        <v>0</v>
      </c>
    </row>
    <row r="119" spans="2:15">
      <c r="B119" s="788"/>
      <c r="C119" s="789"/>
      <c r="E119" s="786"/>
      <c r="F119" s="805"/>
      <c r="G119" s="786"/>
      <c r="H119" s="786"/>
      <c r="I119" s="786"/>
      <c r="J119" s="786"/>
      <c r="K119" s="786"/>
      <c r="L119" s="786"/>
      <c r="M119" s="2604"/>
      <c r="N119" s="2605">
        <f t="shared" si="4"/>
        <v>0</v>
      </c>
    </row>
    <row r="120" spans="2:15">
      <c r="B120" s="788"/>
      <c r="C120" s="789"/>
      <c r="E120" s="863"/>
      <c r="F120" s="805" t="str">
        <f>F46</f>
        <v>PUBLIC SERVICE COMPANY OF OKLAHOMA</v>
      </c>
      <c r="G120" s="863"/>
      <c r="H120" s="863"/>
      <c r="I120" s="863"/>
      <c r="J120" s="863"/>
      <c r="K120" s="863"/>
      <c r="M120" s="2604"/>
      <c r="N120" s="2605">
        <f t="shared" si="4"/>
        <v>0</v>
      </c>
    </row>
    <row r="121" spans="2:15">
      <c r="B121" s="788"/>
      <c r="C121" s="789"/>
      <c r="E121" s="863"/>
      <c r="F121" s="805"/>
      <c r="G121" s="863"/>
      <c r="H121" s="863"/>
      <c r="I121" s="863"/>
      <c r="J121" s="863"/>
      <c r="K121" s="863"/>
      <c r="M121" s="2604"/>
      <c r="N121" s="2605">
        <f t="shared" si="4"/>
        <v>0</v>
      </c>
    </row>
    <row r="122" spans="2:15">
      <c r="D122" s="789" t="s">
        <v>263</v>
      </c>
      <c r="E122" s="789" t="s">
        <v>264</v>
      </c>
      <c r="F122" s="789"/>
      <c r="G122" s="789" t="s">
        <v>265</v>
      </c>
      <c r="H122" s="786"/>
      <c r="I122" s="2431" t="s">
        <v>266</v>
      </c>
      <c r="J122" s="2432"/>
      <c r="K122" s="786"/>
      <c r="L122" s="790" t="s">
        <v>267</v>
      </c>
      <c r="M122" s="2604" t="s">
        <v>267</v>
      </c>
      <c r="N122" s="2605">
        <f t="shared" si="4"/>
        <v>0</v>
      </c>
    </row>
    <row r="123" spans="2:15">
      <c r="B123" s="662"/>
      <c r="D123" s="789"/>
      <c r="E123" s="789"/>
      <c r="F123" s="789"/>
      <c r="G123" s="789"/>
      <c r="H123" s="786"/>
      <c r="I123" s="786"/>
      <c r="J123" s="824"/>
      <c r="K123" s="786"/>
      <c r="M123" s="2604"/>
      <c r="N123" s="2605">
        <f t="shared" si="4"/>
        <v>0</v>
      </c>
      <c r="O123" s="782"/>
    </row>
    <row r="124" spans="2:15">
      <c r="B124" s="825"/>
      <c r="C124" s="789"/>
      <c r="D124" s="864" t="s">
        <v>243</v>
      </c>
      <c r="E124" s="826" t="str">
        <f>E50</f>
        <v>Data Sources</v>
      </c>
      <c r="F124" s="827"/>
      <c r="G124" s="786"/>
      <c r="H124" s="786"/>
      <c r="I124" s="786"/>
      <c r="J124" s="789"/>
      <c r="K124" s="786"/>
      <c r="L124" s="826" t="str">
        <f>L50</f>
        <v>Total</v>
      </c>
      <c r="M124" s="2604" t="s">
        <v>260</v>
      </c>
      <c r="N124" s="2605" t="e">
        <f t="shared" si="4"/>
        <v>#VALUE!</v>
      </c>
      <c r="O124" s="782"/>
    </row>
    <row r="125" spans="2:15">
      <c r="B125" s="662"/>
      <c r="C125" s="796"/>
      <c r="D125" s="829" t="s">
        <v>244</v>
      </c>
      <c r="E125" s="865" t="str">
        <f>E51</f>
        <v>(See "General Notes")</v>
      </c>
      <c r="F125" s="786"/>
      <c r="G125" s="865" t="str">
        <f>G51</f>
        <v>TO Total</v>
      </c>
      <c r="H125" s="831"/>
      <c r="I125" s="2429" t="str">
        <f>I51</f>
        <v>Allocator</v>
      </c>
      <c r="J125" s="2430"/>
      <c r="K125" s="831"/>
      <c r="L125" s="865" t="str">
        <f>L51</f>
        <v>Transmission</v>
      </c>
      <c r="M125" s="2604" t="s">
        <v>257</v>
      </c>
      <c r="N125" s="2605" t="e">
        <f t="shared" si="4"/>
        <v>#VALUE!</v>
      </c>
      <c r="O125" s="782"/>
    </row>
    <row r="126" spans="2:15">
      <c r="B126" s="866" t="str">
        <f>B52</f>
        <v>Line</v>
      </c>
      <c r="D126" s="783"/>
      <c r="E126" s="786"/>
      <c r="F126" s="786"/>
      <c r="G126" s="829"/>
      <c r="H126" s="867"/>
      <c r="I126" s="864"/>
      <c r="K126" s="867"/>
      <c r="L126" s="829"/>
      <c r="M126" s="2604"/>
      <c r="N126" s="2605">
        <f t="shared" si="4"/>
        <v>0</v>
      </c>
    </row>
    <row r="127" spans="2:15" ht="18.75" thickBot="1">
      <c r="B127" s="795" t="str">
        <f>B53</f>
        <v>No.</v>
      </c>
      <c r="C127" s="789"/>
      <c r="D127" s="783" t="s">
        <v>245</v>
      </c>
      <c r="E127" s="786"/>
      <c r="F127" s="786"/>
      <c r="G127" s="786"/>
      <c r="H127" s="786"/>
      <c r="I127" s="805"/>
      <c r="J127" s="786"/>
      <c r="K127" s="786"/>
      <c r="L127" s="786"/>
      <c r="M127" s="2604"/>
      <c r="N127" s="2605">
        <f t="shared" si="4"/>
        <v>0</v>
      </c>
    </row>
    <row r="128" spans="2:15">
      <c r="B128" s="832">
        <f>+B113+1</f>
        <v>64</v>
      </c>
      <c r="C128" s="789"/>
      <c r="D128" s="783" t="s">
        <v>277</v>
      </c>
      <c r="E128" s="786" t="s">
        <v>53</v>
      </c>
      <c r="F128" s="786"/>
      <c r="G128" s="868">
        <v>166820862.94099998</v>
      </c>
      <c r="H128" s="814"/>
      <c r="I128" s="791"/>
      <c r="J128" s="791"/>
      <c r="K128" s="791"/>
      <c r="L128" s="791"/>
      <c r="M128" s="2604"/>
      <c r="N128" s="2605">
        <f t="shared" si="4"/>
        <v>0</v>
      </c>
      <c r="O128" s="786"/>
    </row>
    <row r="129" spans="1:15">
      <c r="A129" s="791"/>
      <c r="B129" s="832">
        <f>+B128+1</f>
        <v>65</v>
      </c>
      <c r="C129" s="789"/>
      <c r="D129" s="783" t="s">
        <v>401</v>
      </c>
      <c r="E129" s="786" t="s">
        <v>185</v>
      </c>
      <c r="F129" s="786"/>
      <c r="G129" s="868">
        <v>13475273.192</v>
      </c>
      <c r="H129" s="814"/>
      <c r="I129" s="791"/>
      <c r="J129" s="791"/>
      <c r="K129" s="791"/>
      <c r="L129" s="791"/>
      <c r="M129" s="2604"/>
      <c r="N129" s="2605">
        <f t="shared" si="4"/>
        <v>0</v>
      </c>
      <c r="O129" s="786"/>
    </row>
    <row r="130" spans="1:15">
      <c r="A130" s="791"/>
      <c r="B130" s="832">
        <f t="shared" ref="B130:B134" si="8">+B129+1</f>
        <v>66</v>
      </c>
      <c r="C130" s="789"/>
      <c r="D130" s="783" t="s">
        <v>208</v>
      </c>
      <c r="E130" s="786" t="s">
        <v>186</v>
      </c>
      <c r="F130" s="786"/>
      <c r="G130" s="868">
        <v>136433673.095</v>
      </c>
      <c r="H130" s="814"/>
      <c r="I130" s="791"/>
      <c r="J130" s="791"/>
      <c r="K130" s="791"/>
      <c r="L130" s="791"/>
      <c r="M130" s="2604"/>
      <c r="N130" s="2605">
        <f t="shared" si="4"/>
        <v>0</v>
      </c>
      <c r="O130" s="786"/>
    </row>
    <row r="131" spans="1:15">
      <c r="A131" s="791"/>
      <c r="B131" s="832">
        <f t="shared" si="8"/>
        <v>67</v>
      </c>
      <c r="C131" s="789"/>
      <c r="D131" s="783" t="s">
        <v>1163</v>
      </c>
      <c r="E131" s="786" t="str">
        <f>"Worksheet S ln "&amp;'PSO WS S Reg Assets'!B16&amp;" (Note V)"</f>
        <v>Worksheet S ln 2 (Note V)</v>
      </c>
      <c r="F131" s="786"/>
      <c r="G131" s="869">
        <f>+'PSO WS S Reg Assets'!I16</f>
        <v>757201.8</v>
      </c>
      <c r="H131" s="814"/>
      <c r="I131" s="791"/>
      <c r="J131" s="791"/>
      <c r="K131" s="791"/>
      <c r="L131" s="791"/>
      <c r="M131" s="2604"/>
      <c r="N131" s="2605">
        <f t="shared" si="4"/>
        <v>0</v>
      </c>
      <c r="O131" s="786"/>
    </row>
    <row r="132" spans="1:15">
      <c r="A132" s="791"/>
      <c r="B132" s="832">
        <f t="shared" si="8"/>
        <v>68</v>
      </c>
      <c r="C132" s="789"/>
      <c r="D132" s="783" t="s">
        <v>879</v>
      </c>
      <c r="E132" s="786" t="str">
        <f>"Worksheet I ln "&amp;'PSO WS I Exp Adj'!B21&amp;""</f>
        <v>Worksheet I ln 10</v>
      </c>
      <c r="F132" s="786"/>
      <c r="G132" s="870">
        <f>+'PSO WS I Exp Adj'!G21</f>
        <v>0</v>
      </c>
      <c r="H132" s="814"/>
      <c r="I132" s="791"/>
      <c r="J132" s="791"/>
      <c r="K132" s="791"/>
      <c r="L132" s="791"/>
      <c r="M132" s="2604"/>
      <c r="N132" s="2605">
        <f t="shared" si="4"/>
        <v>0</v>
      </c>
      <c r="O132" s="786"/>
    </row>
    <row r="133" spans="1:15" ht="18.75" thickBot="1">
      <c r="A133" s="791"/>
      <c r="B133" s="832">
        <f t="shared" si="8"/>
        <v>69</v>
      </c>
      <c r="C133" s="789"/>
      <c r="D133" s="783" t="s">
        <v>1164</v>
      </c>
      <c r="E133" s="786" t="str">
        <f>"Worksheet S ln "&amp;'PSO WS S Reg Assets'!B23&amp;" (Note V)"</f>
        <v>Worksheet S ln 4 (Note V)</v>
      </c>
      <c r="F133" s="786"/>
      <c r="G133" s="804">
        <f>+'PSO WS S Reg Assets'!I23</f>
        <v>743463.75</v>
      </c>
      <c r="H133" s="814"/>
      <c r="I133" s="791"/>
      <c r="J133" s="791"/>
      <c r="K133" s="791"/>
      <c r="L133" s="791"/>
      <c r="M133" s="2604"/>
      <c r="N133" s="2605">
        <f t="shared" si="4"/>
        <v>0</v>
      </c>
      <c r="O133" s="786"/>
    </row>
    <row r="134" spans="1:15">
      <c r="A134" s="791"/>
      <c r="B134" s="832">
        <f t="shared" si="8"/>
        <v>70</v>
      </c>
      <c r="C134" s="789"/>
      <c r="D134" s="783" t="s">
        <v>49</v>
      </c>
      <c r="E134" s="786" t="str">
        <f>"(lns "&amp;B128&amp;" - "&amp;B129&amp;" - "&amp;B130&amp;" - "&amp;B131&amp;" + "&amp;B132&amp;" + "&amp;B133&amp;")"</f>
        <v>(lns 64 - 65 - 66 - 67 + 68 + 69)</v>
      </c>
      <c r="F134" s="783"/>
      <c r="G134" s="871">
        <f>+G128-G129-G130-G131+G132+G133</f>
        <v>16898178.603999984</v>
      </c>
      <c r="H134" s="786"/>
      <c r="I134" s="805" t="s">
        <v>262</v>
      </c>
      <c r="J134" s="806">
        <f>+$L$211</f>
        <v>0.91665491036461699</v>
      </c>
      <c r="K134" s="786"/>
      <c r="L134" s="814">
        <f>+J134*G134</f>
        <v>15489798.393574893</v>
      </c>
      <c r="M134" s="2604">
        <v>15489798.393574893</v>
      </c>
      <c r="N134" s="2605">
        <f t="shared" si="4"/>
        <v>0</v>
      </c>
      <c r="O134" s="786"/>
    </row>
    <row r="135" spans="1:15">
      <c r="A135" s="791"/>
      <c r="B135" s="788"/>
      <c r="C135" s="789"/>
      <c r="D135" s="783"/>
      <c r="E135" s="786"/>
      <c r="F135" s="786"/>
      <c r="G135" s="779"/>
      <c r="H135" s="814"/>
      <c r="I135" s="791"/>
      <c r="J135" s="791"/>
      <c r="K135" s="791"/>
      <c r="L135" s="791"/>
      <c r="M135" s="2604"/>
      <c r="N135" s="2605">
        <f t="shared" si="4"/>
        <v>0</v>
      </c>
      <c r="O135" s="786"/>
    </row>
    <row r="136" spans="1:15">
      <c r="A136" s="791"/>
      <c r="B136" s="788">
        <f>+B134+1</f>
        <v>71</v>
      </c>
      <c r="C136" s="789"/>
      <c r="D136" s="783" t="s">
        <v>246</v>
      </c>
      <c r="E136" s="786" t="s">
        <v>418</v>
      </c>
      <c r="F136" s="786"/>
      <c r="G136" s="868">
        <v>52429030.39100001</v>
      </c>
      <c r="H136" s="814"/>
      <c r="I136" s="854"/>
      <c r="J136" s="854"/>
      <c r="K136" s="786"/>
      <c r="L136" s="814"/>
      <c r="M136" s="2604"/>
      <c r="N136" s="2605">
        <f t="shared" si="4"/>
        <v>0</v>
      </c>
      <c r="O136" s="786"/>
    </row>
    <row r="137" spans="1:15">
      <c r="A137" s="791"/>
      <c r="B137" s="788">
        <f t="shared" ref="B137:B144" si="9">+B136+1</f>
        <v>72</v>
      </c>
      <c r="C137" s="789"/>
      <c r="D137" s="783" t="s">
        <v>403</v>
      </c>
      <c r="E137" s="786" t="s">
        <v>54</v>
      </c>
      <c r="F137" s="786"/>
      <c r="G137" s="868">
        <v>1202026.0160000001</v>
      </c>
      <c r="H137" s="814"/>
      <c r="I137" s="854"/>
      <c r="J137" s="783"/>
      <c r="K137" s="786"/>
      <c r="L137" s="814"/>
      <c r="M137" s="2604"/>
      <c r="N137" s="2605">
        <f t="shared" si="4"/>
        <v>0</v>
      </c>
      <c r="O137" s="786"/>
    </row>
    <row r="138" spans="1:15">
      <c r="B138" s="788">
        <f t="shared" si="9"/>
        <v>73</v>
      </c>
      <c r="C138" s="789"/>
      <c r="D138" s="783" t="s">
        <v>402</v>
      </c>
      <c r="E138" s="786" t="s">
        <v>187</v>
      </c>
      <c r="F138" s="786"/>
      <c r="G138" s="814">
        <f>+'PSO WS J Misc Exp'!D24</f>
        <v>4252424</v>
      </c>
      <c r="H138" s="814"/>
      <c r="I138" s="854"/>
      <c r="J138" s="872"/>
      <c r="K138" s="786"/>
      <c r="L138" s="814"/>
      <c r="M138" s="2604"/>
      <c r="N138" s="2605">
        <f t="shared" si="4"/>
        <v>0</v>
      </c>
      <c r="O138" s="786"/>
    </row>
    <row r="139" spans="1:15">
      <c r="B139" s="788">
        <f t="shared" si="9"/>
        <v>74</v>
      </c>
      <c r="C139" s="789"/>
      <c r="D139" s="783" t="s">
        <v>249</v>
      </c>
      <c r="E139" s="786" t="s">
        <v>188</v>
      </c>
      <c r="F139" s="786"/>
      <c r="G139" s="814">
        <f>+'PSO WS J Misc Exp'!D32</f>
        <v>432250</v>
      </c>
      <c r="H139" s="814"/>
      <c r="I139" s="854"/>
      <c r="J139" s="854"/>
      <c r="K139" s="786"/>
      <c r="L139" s="814"/>
      <c r="M139" s="2604"/>
      <c r="N139" s="2605">
        <f t="shared" si="4"/>
        <v>0</v>
      </c>
      <c r="O139" s="786"/>
    </row>
    <row r="140" spans="1:15">
      <c r="B140" s="788">
        <f t="shared" si="9"/>
        <v>75</v>
      </c>
      <c r="C140" s="789"/>
      <c r="D140" s="783" t="s">
        <v>404</v>
      </c>
      <c r="E140" s="786" t="s">
        <v>189</v>
      </c>
      <c r="F140" s="786"/>
      <c r="G140" s="814">
        <f>+'PSO WS J Misc Exp'!D39</f>
        <v>3169174</v>
      </c>
      <c r="H140" s="814"/>
      <c r="I140" s="854"/>
      <c r="J140" s="854"/>
      <c r="K140" s="786"/>
      <c r="L140" s="814"/>
      <c r="M140" s="2604"/>
      <c r="N140" s="2605">
        <f t="shared" si="4"/>
        <v>0</v>
      </c>
      <c r="O140" s="786"/>
    </row>
    <row r="141" spans="1:15" ht="18.75" thickBot="1">
      <c r="B141" s="788">
        <f>+B140+1</f>
        <v>76</v>
      </c>
      <c r="C141" s="789"/>
      <c r="D141" s="783" t="s">
        <v>1186</v>
      </c>
      <c r="E141" s="786" t="str">
        <f>"Worksheet S ln "&amp;'PSO WS S Reg Assets'!B28&amp;" (Note V)"</f>
        <v>Worksheet S ln 6 (Note V)</v>
      </c>
      <c r="F141" s="786"/>
      <c r="G141" s="814">
        <f>+'PSO WS S Reg Assets'!I28</f>
        <v>489915.12000000005</v>
      </c>
      <c r="H141" s="814"/>
      <c r="I141" s="854"/>
      <c r="J141" s="854"/>
      <c r="K141" s="786"/>
      <c r="L141" s="814"/>
      <c r="M141" s="2604"/>
      <c r="N141" s="2605">
        <f t="shared" ref="N141:N193" si="10">+L141-M141</f>
        <v>0</v>
      </c>
      <c r="O141" s="786"/>
    </row>
    <row r="142" spans="1:15">
      <c r="B142" s="788">
        <f>+B141+1</f>
        <v>77</v>
      </c>
      <c r="C142" s="789"/>
      <c r="D142" s="783" t="s">
        <v>250</v>
      </c>
      <c r="E142" s="786" t="str">
        <f>"(ln "&amp;B136&amp;" - sum ln "&amp;B137&amp;"  to ln "&amp;B141&amp;")"</f>
        <v>(ln 71 - sum ln 72  to ln 76)</v>
      </c>
      <c r="F142" s="786"/>
      <c r="G142" s="871">
        <f>G136-SUM(G137:G141)</f>
        <v>42883241.25500001</v>
      </c>
      <c r="H142" s="814"/>
      <c r="I142" s="805" t="s">
        <v>274</v>
      </c>
      <c r="J142" s="806">
        <f>+$L$221</f>
        <v>7.834466905550759E-2</v>
      </c>
      <c r="K142" s="786"/>
      <c r="L142" s="814">
        <f>+J142*G142</f>
        <v>3359673.3441504659</v>
      </c>
      <c r="M142" s="2604">
        <v>3359673.3441504659</v>
      </c>
      <c r="N142" s="2605">
        <f t="shared" si="10"/>
        <v>0</v>
      </c>
      <c r="O142" s="786"/>
    </row>
    <row r="143" spans="1:15">
      <c r="B143" s="788">
        <f t="shared" si="9"/>
        <v>78</v>
      </c>
      <c r="C143" s="789"/>
      <c r="D143" s="783" t="s">
        <v>336</v>
      </c>
      <c r="E143" s="786" t="str">
        <f>"(ln "&amp;B137&amp;")"</f>
        <v>(ln 72)</v>
      </c>
      <c r="F143" s="786"/>
      <c r="G143" s="814">
        <f>+G137</f>
        <v>1202026.0160000001</v>
      </c>
      <c r="H143" s="814"/>
      <c r="I143" s="823" t="s">
        <v>865</v>
      </c>
      <c r="J143" s="806">
        <f>+$J$63</f>
        <v>0.15860876278269179</v>
      </c>
      <c r="K143" s="786"/>
      <c r="L143" s="814">
        <f>+J143*G143</f>
        <v>190651.85923036808</v>
      </c>
      <c r="M143" s="2604">
        <v>190651.85923036808</v>
      </c>
      <c r="N143" s="2605">
        <f t="shared" si="10"/>
        <v>0</v>
      </c>
      <c r="O143" s="786"/>
    </row>
    <row r="144" spans="1:15">
      <c r="B144" s="788">
        <f t="shared" si="9"/>
        <v>79</v>
      </c>
      <c r="C144" s="789"/>
      <c r="D144" s="783" t="s">
        <v>361</v>
      </c>
      <c r="E144" s="786" t="str">
        <f>"Worksheet J ln "&amp;'PSO WS J Misc Exp'!A24&amp;".(E) (Note L)"</f>
        <v>Worksheet J ln 7.(E) (Note L)</v>
      </c>
      <c r="F144" s="786"/>
      <c r="G144" s="814">
        <f>+'PSO WS J Misc Exp'!F24</f>
        <v>16812</v>
      </c>
      <c r="H144" s="814"/>
      <c r="I144" s="805" t="s">
        <v>262</v>
      </c>
      <c r="J144" s="806">
        <f>+$L$211</f>
        <v>0.91665491036461699</v>
      </c>
      <c r="K144" s="786"/>
      <c r="L144" s="814">
        <f>J144*G144</f>
        <v>15410.802353049941</v>
      </c>
      <c r="M144" s="2604">
        <v>15410.802353049941</v>
      </c>
      <c r="N144" s="2605">
        <f t="shared" si="10"/>
        <v>0</v>
      </c>
      <c r="O144" s="786"/>
    </row>
    <row r="145" spans="2:15">
      <c r="B145" s="788">
        <f>+B144+1</f>
        <v>80</v>
      </c>
      <c r="C145" s="789"/>
      <c r="D145" s="783" t="s">
        <v>363</v>
      </c>
      <c r="E145" s="786" t="str">
        <f>"Worksheet J ln "&amp;'PSO WS J Misc Exp'!A32&amp;".(E) (Note L)"</f>
        <v>Worksheet J ln 12.(E) (Note L)</v>
      </c>
      <c r="F145" s="786"/>
      <c r="G145" s="804">
        <f>'PSO WS J Misc Exp'!F32</f>
        <v>0</v>
      </c>
      <c r="H145" s="786"/>
      <c r="I145" s="823" t="s">
        <v>865</v>
      </c>
      <c r="J145" s="806">
        <f>+J63</f>
        <v>0.15860876278269179</v>
      </c>
      <c r="K145" s="786"/>
      <c r="L145" s="804">
        <f>+J145*G145</f>
        <v>0</v>
      </c>
      <c r="M145" s="2604">
        <v>0</v>
      </c>
      <c r="N145" s="2605">
        <f t="shared" si="10"/>
        <v>0</v>
      </c>
      <c r="O145" s="786"/>
    </row>
    <row r="146" spans="2:15">
      <c r="B146" s="788">
        <f>+B145+1</f>
        <v>81</v>
      </c>
      <c r="C146" s="789"/>
      <c r="D146" s="783" t="s">
        <v>364</v>
      </c>
      <c r="E146" s="786" t="e">
        <f>"Worksheet J ln "&amp;'PSO WS J Misc Exp'!A39&amp;".(E) (Note L)"</f>
        <v>#REF!</v>
      </c>
      <c r="F146" s="786"/>
      <c r="G146" s="804">
        <f>'PSO WS J Misc Exp'!F39</f>
        <v>276017</v>
      </c>
      <c r="H146" s="786"/>
      <c r="I146" s="805" t="s">
        <v>271</v>
      </c>
      <c r="J146" s="806">
        <v>1</v>
      </c>
      <c r="K146" s="786"/>
      <c r="L146" s="804">
        <f>J146*G146</f>
        <v>276017</v>
      </c>
      <c r="M146" s="2604">
        <v>276017</v>
      </c>
      <c r="N146" s="2605">
        <f t="shared" si="10"/>
        <v>0</v>
      </c>
      <c r="O146" s="786"/>
    </row>
    <row r="147" spans="2:15" ht="18.75" thickBot="1">
      <c r="B147" s="788">
        <f>+B146+1</f>
        <v>82</v>
      </c>
      <c r="C147" s="789"/>
      <c r="D147" s="783" t="s">
        <v>1187</v>
      </c>
      <c r="E147" s="786" t="str">
        <f>"Worksheet S ln "&amp;'PSO WS S Reg Assets'!B33&amp;" (Note V)"</f>
        <v>Worksheet S ln 8 (Note V)</v>
      </c>
      <c r="F147" s="786"/>
      <c r="G147" s="804">
        <f>+'PSO WS S Reg Assets'!I33</f>
        <v>489915.12000000005</v>
      </c>
      <c r="H147" s="786"/>
      <c r="I147" s="805" t="s">
        <v>274</v>
      </c>
      <c r="J147" s="806">
        <f>+$L$221</f>
        <v>7.834466905550759E-2</v>
      </c>
      <c r="K147" s="786"/>
      <c r="L147" s="814">
        <f>J147*G147</f>
        <v>38382.237941689295</v>
      </c>
      <c r="M147" s="2604">
        <v>38382.237941689295</v>
      </c>
      <c r="N147" s="2605">
        <f t="shared" si="10"/>
        <v>0</v>
      </c>
      <c r="O147" s="786"/>
    </row>
    <row r="148" spans="2:15">
      <c r="B148" s="788">
        <f>+B147+1</f>
        <v>83</v>
      </c>
      <c r="C148" s="789"/>
      <c r="D148" s="783" t="s">
        <v>251</v>
      </c>
      <c r="E148" s="801" t="str">
        <f>"(sum lns "&amp;B142&amp;" to "&amp;B147&amp;")"</f>
        <v>(sum lns 77 to 82)</v>
      </c>
      <c r="F148" s="786"/>
      <c r="G148" s="871">
        <f>SUM(G142:G147)</f>
        <v>44868011.39100001</v>
      </c>
      <c r="H148" s="814"/>
      <c r="I148" s="805"/>
      <c r="J148" s="854"/>
      <c r="K148" s="786"/>
      <c r="L148" s="871">
        <f>SUM(L142:L147)</f>
        <v>3880135.2436755733</v>
      </c>
      <c r="M148" s="2604">
        <v>3880135.2436755733</v>
      </c>
      <c r="N148" s="2605">
        <f t="shared" si="10"/>
        <v>0</v>
      </c>
      <c r="O148" s="786"/>
    </row>
    <row r="149" spans="2:15" ht="18.75" thickBot="1">
      <c r="B149" s="788"/>
      <c r="C149" s="789"/>
      <c r="D149" s="783"/>
      <c r="E149" s="786"/>
      <c r="F149" s="786"/>
      <c r="G149" s="843"/>
      <c r="H149" s="814"/>
      <c r="I149" s="805"/>
      <c r="J149" s="854"/>
      <c r="K149" s="786"/>
      <c r="L149" s="843"/>
      <c r="M149" s="2604"/>
      <c r="N149" s="2605">
        <f t="shared" si="10"/>
        <v>0</v>
      </c>
      <c r="O149" s="786"/>
    </row>
    <row r="150" spans="2:15">
      <c r="B150" s="788">
        <f>+B148+1</f>
        <v>84</v>
      </c>
      <c r="C150" s="789"/>
      <c r="D150" s="783" t="s">
        <v>252</v>
      </c>
      <c r="E150" s="786" t="str">
        <f>"(ln "&amp;B134&amp;" + ln "&amp;B148&amp;")"</f>
        <v>(ln 70 + ln 83)</v>
      </c>
      <c r="F150" s="786"/>
      <c r="G150" s="814">
        <f>G134+G148</f>
        <v>61766189.99499999</v>
      </c>
      <c r="H150" s="814"/>
      <c r="I150" s="805"/>
      <c r="J150" s="860"/>
      <c r="K150" s="786"/>
      <c r="L150" s="814">
        <f>+L148+L134</f>
        <v>19369933.637250468</v>
      </c>
      <c r="M150" s="2604">
        <v>19369933.637250468</v>
      </c>
      <c r="N150" s="2605">
        <f t="shared" si="10"/>
        <v>0</v>
      </c>
      <c r="O150" s="786"/>
    </row>
    <row r="151" spans="2:15">
      <c r="B151" s="788"/>
      <c r="C151" s="789"/>
      <c r="D151" s="783"/>
      <c r="E151" s="786"/>
      <c r="F151" s="786"/>
      <c r="G151" s="804"/>
      <c r="H151" s="873"/>
      <c r="I151" s="834"/>
      <c r="J151" s="874"/>
      <c r="K151" s="873"/>
      <c r="L151" s="804"/>
      <c r="M151" s="2604"/>
      <c r="N151" s="2605">
        <f t="shared" si="10"/>
        <v>0</v>
      </c>
      <c r="O151" s="786"/>
    </row>
    <row r="152" spans="2:15">
      <c r="B152" s="788">
        <f>+B150+1</f>
        <v>85</v>
      </c>
      <c r="C152" s="789"/>
      <c r="D152" s="835" t="s">
        <v>255</v>
      </c>
      <c r="E152" s="805"/>
      <c r="F152" s="805"/>
      <c r="G152" s="804"/>
      <c r="H152" s="873"/>
      <c r="I152" s="834"/>
      <c r="J152" s="873"/>
      <c r="K152" s="873"/>
      <c r="L152" s="804"/>
      <c r="M152" s="2604"/>
      <c r="N152" s="2605">
        <f t="shared" si="10"/>
        <v>0</v>
      </c>
      <c r="O152" s="786"/>
    </row>
    <row r="153" spans="2:15">
      <c r="B153" s="788">
        <f t="shared" ref="B153:B156" si="11">+B152+1</f>
        <v>86</v>
      </c>
      <c r="C153" s="789"/>
      <c r="D153" s="838" t="s">
        <v>270</v>
      </c>
      <c r="E153" s="801" t="s">
        <v>1332</v>
      </c>
      <c r="F153" s="875"/>
      <c r="G153" s="868">
        <v>20436310</v>
      </c>
      <c r="H153" s="873"/>
      <c r="I153" s="840" t="s">
        <v>262</v>
      </c>
      <c r="J153" s="806">
        <f>+L211</f>
        <v>0.91665491036461699</v>
      </c>
      <c r="K153" s="873"/>
      <c r="L153" s="842">
        <f>+G153*J153</f>
        <v>18733043.911233526</v>
      </c>
      <c r="M153" s="2604">
        <v>18733043.911233526</v>
      </c>
      <c r="N153" s="2605">
        <f t="shared" si="10"/>
        <v>0</v>
      </c>
      <c r="O153" s="786"/>
    </row>
    <row r="154" spans="2:15">
      <c r="B154" s="788">
        <f>+B153+1</f>
        <v>87</v>
      </c>
      <c r="C154" s="789"/>
      <c r="D154" s="835" t="s">
        <v>278</v>
      </c>
      <c r="E154" s="875" t="s">
        <v>1333</v>
      </c>
      <c r="F154" s="786"/>
      <c r="G154" s="868">
        <v>5739207</v>
      </c>
      <c r="H154" s="814"/>
      <c r="I154" s="805" t="s">
        <v>274</v>
      </c>
      <c r="J154" s="806">
        <f>+$L$221</f>
        <v>7.834466905550759E-2</v>
      </c>
      <c r="K154" s="786"/>
      <c r="L154" s="814">
        <f>+J154*G154</f>
        <v>449636.27305605257</v>
      </c>
      <c r="M154" s="2604">
        <v>449636.27305605257</v>
      </c>
      <c r="N154" s="2605">
        <f t="shared" si="10"/>
        <v>0</v>
      </c>
      <c r="O154" s="786"/>
    </row>
    <row r="155" spans="2:15" ht="18.75" thickBot="1">
      <c r="B155" s="788">
        <f t="shared" si="11"/>
        <v>88</v>
      </c>
      <c r="C155" s="789"/>
      <c r="D155" s="835" t="s">
        <v>279</v>
      </c>
      <c r="E155" s="875" t="s">
        <v>1085</v>
      </c>
      <c r="F155" s="786"/>
      <c r="G155" s="868">
        <v>11221547</v>
      </c>
      <c r="H155" s="814"/>
      <c r="I155" s="805" t="s">
        <v>274</v>
      </c>
      <c r="J155" s="806">
        <f>+L221</f>
        <v>7.834466905550759E-2</v>
      </c>
      <c r="K155" s="786"/>
      <c r="L155" s="843">
        <f>+J155*G155</f>
        <v>879148.38600582408</v>
      </c>
      <c r="M155" s="2604">
        <v>879148.38600582408</v>
      </c>
      <c r="N155" s="2605">
        <f t="shared" si="10"/>
        <v>0</v>
      </c>
      <c r="O155" s="786"/>
    </row>
    <row r="156" spans="2:15">
      <c r="B156" s="788">
        <f t="shared" si="11"/>
        <v>89</v>
      </c>
      <c r="C156" s="789"/>
      <c r="D156" s="835" t="s">
        <v>389</v>
      </c>
      <c r="E156" s="801" t="str">
        <f>"(sum lns "&amp;B153&amp;" to "&amp;B155&amp;")"</f>
        <v>(sum lns 86 to 88)</v>
      </c>
      <c r="F156" s="786"/>
      <c r="G156" s="871">
        <f>SUM(G153:G155)</f>
        <v>37397064</v>
      </c>
      <c r="H156" s="786"/>
      <c r="I156" s="805"/>
      <c r="J156" s="786"/>
      <c r="K156" s="786"/>
      <c r="L156" s="814">
        <f>SUM(L153:L155)</f>
        <v>20061828.570295401</v>
      </c>
      <c r="M156" s="2604">
        <v>20061828.570295401</v>
      </c>
      <c r="N156" s="2605">
        <f t="shared" si="10"/>
        <v>0</v>
      </c>
      <c r="O156" s="786"/>
    </row>
    <row r="157" spans="2:15">
      <c r="B157" s="788"/>
      <c r="C157" s="789"/>
      <c r="D157" s="835"/>
      <c r="E157" s="801"/>
      <c r="F157" s="786"/>
      <c r="G157" s="814"/>
      <c r="H157" s="786"/>
      <c r="I157" s="805"/>
      <c r="J157" s="786"/>
      <c r="K157" s="786"/>
      <c r="L157" s="814"/>
      <c r="M157" s="2604"/>
      <c r="N157" s="2605">
        <f t="shared" si="10"/>
        <v>0</v>
      </c>
      <c r="O157" s="786"/>
    </row>
    <row r="158" spans="2:15">
      <c r="B158" s="788">
        <f>+B156+1</f>
        <v>90</v>
      </c>
      <c r="C158" s="789"/>
      <c r="D158" s="835" t="s">
        <v>214</v>
      </c>
      <c r="E158" s="786" t="s">
        <v>417</v>
      </c>
      <c r="G158" s="814"/>
      <c r="H158" s="786"/>
      <c r="I158" s="805"/>
      <c r="J158" s="786"/>
      <c r="K158" s="786"/>
      <c r="L158" s="814"/>
      <c r="M158" s="2604"/>
      <c r="N158" s="2605">
        <f t="shared" si="10"/>
        <v>0</v>
      </c>
      <c r="O158" s="786"/>
    </row>
    <row r="159" spans="2:15">
      <c r="B159" s="788">
        <f t="shared" ref="B159:B165" si="12">+B158+1</f>
        <v>91</v>
      </c>
      <c r="C159" s="789"/>
      <c r="D159" s="835" t="s">
        <v>280</v>
      </c>
      <c r="G159" s="814"/>
      <c r="H159" s="786"/>
      <c r="I159" s="805"/>
      <c r="K159" s="786"/>
      <c r="L159" s="814"/>
      <c r="M159" s="2604"/>
      <c r="N159" s="2605">
        <f t="shared" si="10"/>
        <v>0</v>
      </c>
      <c r="O159" s="786"/>
    </row>
    <row r="160" spans="2:15">
      <c r="B160" s="788">
        <f t="shared" si="12"/>
        <v>92</v>
      </c>
      <c r="C160" s="789"/>
      <c r="D160" s="835" t="s">
        <v>281</v>
      </c>
      <c r="E160" s="786" t="s">
        <v>190</v>
      </c>
      <c r="F160" s="786"/>
      <c r="G160" s="814">
        <f>+'PSO WS L Other Taxes'!I46</f>
        <v>5048882</v>
      </c>
      <c r="H160" s="814"/>
      <c r="I160" s="805" t="s">
        <v>274</v>
      </c>
      <c r="J160" s="806">
        <f>+L221</f>
        <v>7.834466905550759E-2</v>
      </c>
      <c r="K160" s="786"/>
      <c r="L160" s="814">
        <f>+J160*G160</f>
        <v>395552.98939030926</v>
      </c>
      <c r="M160" s="2604">
        <v>395552.98939030926</v>
      </c>
      <c r="N160" s="2605">
        <f t="shared" si="10"/>
        <v>0</v>
      </c>
      <c r="O160" s="786"/>
    </row>
    <row r="161" spans="2:15">
      <c r="B161" s="788">
        <f t="shared" si="12"/>
        <v>93</v>
      </c>
      <c r="C161" s="789"/>
      <c r="D161" s="835" t="s">
        <v>282</v>
      </c>
      <c r="E161" s="786" t="s">
        <v>256</v>
      </c>
      <c r="F161" s="786"/>
      <c r="G161" s="814"/>
      <c r="H161" s="814"/>
      <c r="I161" s="805"/>
      <c r="K161" s="786"/>
      <c r="L161" s="814"/>
      <c r="M161" s="2604"/>
      <c r="N161" s="2605">
        <f t="shared" si="10"/>
        <v>0</v>
      </c>
      <c r="O161" s="786"/>
    </row>
    <row r="162" spans="2:15">
      <c r="B162" s="788">
        <f t="shared" si="12"/>
        <v>94</v>
      </c>
      <c r="C162" s="789"/>
      <c r="D162" s="835" t="s">
        <v>283</v>
      </c>
      <c r="E162" s="786" t="s">
        <v>191</v>
      </c>
      <c r="F162" s="786"/>
      <c r="G162" s="814">
        <f>+'PSO WS L Other Taxes'!G46</f>
        <v>37577829</v>
      </c>
      <c r="H162" s="814"/>
      <c r="I162" s="805" t="s">
        <v>865</v>
      </c>
      <c r="J162" s="806">
        <f>+J63</f>
        <v>0.15860876278269179</v>
      </c>
      <c r="K162" s="786"/>
      <c r="L162" s="814">
        <f>+G162*J162</f>
        <v>5960172.9657495562</v>
      </c>
      <c r="M162" s="2604">
        <v>5960172.9657495562</v>
      </c>
      <c r="N162" s="2605">
        <f t="shared" si="10"/>
        <v>0</v>
      </c>
      <c r="O162" s="786"/>
    </row>
    <row r="163" spans="2:15">
      <c r="B163" s="788">
        <f t="shared" si="12"/>
        <v>95</v>
      </c>
      <c r="C163" s="789"/>
      <c r="D163" s="835" t="s">
        <v>1284</v>
      </c>
      <c r="E163" s="786" t="s">
        <v>192</v>
      </c>
      <c r="F163" s="786"/>
      <c r="G163" s="814">
        <f>+'PSO WS L Other Taxes'!M46</f>
        <v>215872</v>
      </c>
      <c r="H163" s="791"/>
      <c r="I163" s="805" t="s">
        <v>269</v>
      </c>
      <c r="J163" s="806">
        <v>0</v>
      </c>
      <c r="K163" s="786"/>
      <c r="L163" s="814">
        <f>+J163*G163</f>
        <v>0</v>
      </c>
      <c r="M163" s="2604">
        <v>0</v>
      </c>
      <c r="N163" s="2605">
        <f t="shared" si="10"/>
        <v>0</v>
      </c>
      <c r="O163" s="786"/>
    </row>
    <row r="164" spans="2:15" ht="18.75" thickBot="1">
      <c r="B164" s="788">
        <f t="shared" si="12"/>
        <v>96</v>
      </c>
      <c r="C164" s="789"/>
      <c r="D164" s="835" t="s">
        <v>320</v>
      </c>
      <c r="E164" s="786" t="s">
        <v>193</v>
      </c>
      <c r="F164" s="786"/>
      <c r="G164" s="843">
        <f>+'PSO WS L Other Taxes'!K46</f>
        <v>150086</v>
      </c>
      <c r="H164" s="791"/>
      <c r="I164" s="805" t="s">
        <v>865</v>
      </c>
      <c r="J164" s="806">
        <f>+J63</f>
        <v>0.15860876278269179</v>
      </c>
      <c r="K164" s="786"/>
      <c r="L164" s="843">
        <f>+J164*G164</f>
        <v>23804.954771003078</v>
      </c>
      <c r="M164" s="2604">
        <v>23804.954771003078</v>
      </c>
      <c r="N164" s="2605">
        <f t="shared" si="10"/>
        <v>0</v>
      </c>
      <c r="O164" s="786"/>
    </row>
    <row r="165" spans="2:15">
      <c r="B165" s="788">
        <f t="shared" si="12"/>
        <v>97</v>
      </c>
      <c r="C165" s="789"/>
      <c r="D165" s="835" t="s">
        <v>215</v>
      </c>
      <c r="E165" s="801" t="str">
        <f>"(sum lns "&amp;B160&amp;" to "&amp;B164&amp;")"</f>
        <v>(sum lns 92 to 96)</v>
      </c>
      <c r="F165" s="786"/>
      <c r="G165" s="814">
        <f>SUM(G160:G164)</f>
        <v>42992669</v>
      </c>
      <c r="H165" s="786"/>
      <c r="I165" s="805"/>
      <c r="J165" s="876"/>
      <c r="K165" s="786"/>
      <c r="L165" s="814">
        <f>SUM(L160:L164)</f>
        <v>6379530.9099108679</v>
      </c>
      <c r="M165" s="2604">
        <v>6379530.9099108679</v>
      </c>
      <c r="N165" s="2605">
        <f t="shared" si="10"/>
        <v>0</v>
      </c>
      <c r="O165" s="786"/>
    </row>
    <row r="166" spans="2:15">
      <c r="B166" s="788"/>
      <c r="C166" s="789"/>
      <c r="D166" s="835"/>
      <c r="E166" s="786"/>
      <c r="F166" s="786"/>
      <c r="G166" s="786"/>
      <c r="H166" s="786"/>
      <c r="I166" s="805"/>
      <c r="J166" s="876"/>
      <c r="K166" s="786"/>
      <c r="L166" s="786"/>
      <c r="M166" s="2604"/>
      <c r="N166" s="2605">
        <f t="shared" si="10"/>
        <v>0</v>
      </c>
      <c r="O166" s="786"/>
    </row>
    <row r="167" spans="2:15">
      <c r="B167" s="788">
        <f>+B165+1</f>
        <v>98</v>
      </c>
      <c r="C167" s="789"/>
      <c r="D167" s="835" t="s">
        <v>407</v>
      </c>
      <c r="E167" s="786" t="s">
        <v>416</v>
      </c>
      <c r="F167" s="877"/>
      <c r="G167" s="786"/>
      <c r="H167" s="791"/>
      <c r="I167" s="863"/>
      <c r="K167" s="786"/>
      <c r="M167" s="2604"/>
      <c r="N167" s="2605">
        <f t="shared" si="10"/>
        <v>0</v>
      </c>
      <c r="O167" s="786"/>
    </row>
    <row r="168" spans="2:15">
      <c r="B168" s="788">
        <f t="shared" ref="B168:B175" si="13">+B167+1</f>
        <v>99</v>
      </c>
      <c r="C168" s="789"/>
      <c r="D168" s="878" t="s">
        <v>408</v>
      </c>
      <c r="E168" s="786"/>
      <c r="F168" s="879"/>
      <c r="G168" s="880">
        <f>IF(F299&gt;0,1-(((1-F300)*(1-F299))/(1-F300*F299*F301)),0)</f>
        <v>0.2533709999999999</v>
      </c>
      <c r="H168" s="881"/>
      <c r="I168" s="863"/>
      <c r="J168" s="881"/>
      <c r="K168" s="786"/>
      <c r="M168" s="2604"/>
      <c r="N168" s="2605">
        <f t="shared" si="10"/>
        <v>0</v>
      </c>
      <c r="O168" s="786"/>
    </row>
    <row r="169" spans="2:15">
      <c r="B169" s="788">
        <f t="shared" si="13"/>
        <v>100</v>
      </c>
      <c r="C169" s="789"/>
      <c r="D169" s="658" t="s">
        <v>409</v>
      </c>
      <c r="E169" s="786"/>
      <c r="F169" s="879"/>
      <c r="G169" s="880">
        <f>IF(L235&gt;0,($G168/(1-$G168))*(1-$L235/$L238),0)</f>
        <v>0.23110647774032195</v>
      </c>
      <c r="H169" s="881"/>
      <c r="I169" s="863"/>
      <c r="K169" s="786"/>
      <c r="M169" s="2604"/>
      <c r="N169" s="2605">
        <f t="shared" si="10"/>
        <v>0</v>
      </c>
      <c r="O169" s="786"/>
    </row>
    <row r="170" spans="2:15">
      <c r="B170" s="788">
        <f t="shared" si="13"/>
        <v>101</v>
      </c>
      <c r="C170" s="789"/>
      <c r="D170" s="835" t="str">
        <f>"       where WCLTD=(ln "&amp;B235&amp;") and WACC = (ln "&amp;B238&amp;")"</f>
        <v xml:space="preserve">       where WCLTD=(ln 141) and WACC = (ln 144)</v>
      </c>
      <c r="E170" s="786"/>
      <c r="F170" s="877"/>
      <c r="G170" s="786"/>
      <c r="H170" s="791"/>
      <c r="I170" s="863"/>
      <c r="J170" s="882"/>
      <c r="K170" s="786"/>
      <c r="L170" s="883"/>
      <c r="M170" s="2604"/>
      <c r="N170" s="2605">
        <f t="shared" si="10"/>
        <v>0</v>
      </c>
      <c r="O170" s="786"/>
    </row>
    <row r="171" spans="2:15">
      <c r="B171" s="788">
        <f t="shared" si="13"/>
        <v>102</v>
      </c>
      <c r="C171" s="789"/>
      <c r="D171" s="835" t="s">
        <v>415</v>
      </c>
      <c r="E171" s="884"/>
      <c r="F171" s="879"/>
      <c r="G171" s="786"/>
      <c r="H171" s="791"/>
      <c r="I171" s="863"/>
      <c r="J171" s="882"/>
      <c r="K171" s="786"/>
      <c r="M171" s="2604"/>
      <c r="N171" s="2605">
        <f t="shared" si="10"/>
        <v>0</v>
      </c>
      <c r="O171" s="786"/>
    </row>
    <row r="172" spans="2:15">
      <c r="B172" s="788">
        <f t="shared" si="13"/>
        <v>103</v>
      </c>
      <c r="C172" s="789"/>
      <c r="D172" s="878" t="str">
        <f>"      GRCF=1 / (1 - T)  = (from ln "&amp;B168&amp;")"</f>
        <v xml:space="preserve">      GRCF=1 / (1 - T)  = (from ln 99)</v>
      </c>
      <c r="E172" s="877"/>
      <c r="F172" s="877"/>
      <c r="G172" s="885">
        <f>IF(G168&gt;0,1/(1-G168),0)</f>
        <v>1.3393532798752792</v>
      </c>
      <c r="H172" s="791"/>
      <c r="I172" s="823"/>
      <c r="J172" s="886"/>
      <c r="K172" s="814"/>
      <c r="L172" s="822"/>
      <c r="M172" s="2604"/>
      <c r="N172" s="2605">
        <f t="shared" si="10"/>
        <v>0</v>
      </c>
      <c r="O172" s="786"/>
    </row>
    <row r="173" spans="2:15">
      <c r="B173" s="788">
        <f t="shared" si="13"/>
        <v>104</v>
      </c>
      <c r="C173" s="789"/>
      <c r="D173" s="835" t="s">
        <v>410</v>
      </c>
      <c r="E173" s="854" t="s">
        <v>181</v>
      </c>
      <c r="F173" s="877"/>
      <c r="G173" s="868">
        <v>-2048115</v>
      </c>
      <c r="H173" s="791"/>
      <c r="I173" s="823"/>
      <c r="J173" s="887"/>
      <c r="K173" s="814"/>
      <c r="M173" s="2604"/>
      <c r="N173" s="2605">
        <f t="shared" si="10"/>
        <v>0</v>
      </c>
      <c r="O173" s="786"/>
    </row>
    <row r="174" spans="2:15">
      <c r="B174" s="788">
        <f t="shared" si="13"/>
        <v>105</v>
      </c>
      <c r="C174" s="789"/>
      <c r="D174" s="673" t="s">
        <v>505</v>
      </c>
      <c r="E174" s="854" t="str">
        <f xml:space="preserve"> "Company Records (Note O) and WS C-4 Ln "&amp;'PSO WS C-4 Excess FIT'!A49</f>
        <v>Company Records (Note O) and WS C-4 Ln 24</v>
      </c>
      <c r="F174" s="877"/>
      <c r="G174" s="868">
        <v>-15567378</v>
      </c>
      <c r="H174" s="791"/>
      <c r="I174" s="823" t="s">
        <v>271</v>
      </c>
      <c r="J174" s="887"/>
      <c r="K174" s="869"/>
      <c r="L174" s="804">
        <f>+M174</f>
        <v>-3683306.3999999994</v>
      </c>
      <c r="M174" s="2604">
        <v>-3683306.3999999994</v>
      </c>
      <c r="N174" s="2605">
        <f t="shared" si="10"/>
        <v>0</v>
      </c>
      <c r="O174" s="786"/>
    </row>
    <row r="175" spans="2:15">
      <c r="B175" s="788">
        <f t="shared" si="13"/>
        <v>106</v>
      </c>
      <c r="C175" s="789"/>
      <c r="D175" s="673" t="s">
        <v>794</v>
      </c>
      <c r="E175" s="854" t="s">
        <v>1084</v>
      </c>
      <c r="F175" s="877"/>
      <c r="G175" s="868">
        <v>714800</v>
      </c>
      <c r="H175" s="791"/>
      <c r="I175" s="823" t="s">
        <v>271</v>
      </c>
      <c r="J175" s="887"/>
      <c r="K175" s="869"/>
      <c r="L175" s="868">
        <v>58800</v>
      </c>
      <c r="M175" s="2604">
        <v>58800</v>
      </c>
      <c r="N175" s="2605">
        <f t="shared" si="10"/>
        <v>0</v>
      </c>
      <c r="O175" s="786"/>
    </row>
    <row r="176" spans="2:15">
      <c r="B176" s="788"/>
      <c r="C176" s="789"/>
      <c r="D176" s="835"/>
      <c r="E176" s="786"/>
      <c r="F176" s="879"/>
      <c r="G176" s="814"/>
      <c r="H176" s="791"/>
      <c r="I176" s="823"/>
      <c r="J176" s="883"/>
      <c r="K176" s="814"/>
      <c r="M176" s="2604"/>
      <c r="N176" s="2605">
        <f t="shared" si="10"/>
        <v>0</v>
      </c>
      <c r="O176" s="786"/>
    </row>
    <row r="177" spans="2:15">
      <c r="B177" s="788">
        <f>+B175+1</f>
        <v>107</v>
      </c>
      <c r="C177" s="789"/>
      <c r="D177" s="878" t="s">
        <v>423</v>
      </c>
      <c r="E177" s="888" t="str">
        <f>"(ln "&amp;B169&amp;" * ln "&amp;B184&amp;")"</f>
        <v>(ln 100 * ln 112)</v>
      </c>
      <c r="F177" s="889"/>
      <c r="G177" s="814">
        <f>+G169*G184</f>
        <v>43393339.570339195</v>
      </c>
      <c r="H177" s="791"/>
      <c r="I177" s="823"/>
      <c r="J177" s="883"/>
      <c r="K177" s="814"/>
      <c r="L177" s="814">
        <f>+L184*G169</f>
        <v>7977531.9818766946</v>
      </c>
      <c r="M177" s="2604">
        <v>7879616.7663747258</v>
      </c>
      <c r="N177" s="2605">
        <f t="shared" si="10"/>
        <v>97915.215501968749</v>
      </c>
      <c r="O177" s="786"/>
    </row>
    <row r="178" spans="2:15">
      <c r="B178" s="788">
        <f>+B177+1</f>
        <v>108</v>
      </c>
      <c r="C178" s="789"/>
      <c r="D178" s="658" t="s">
        <v>424</v>
      </c>
      <c r="E178" s="888" t="str">
        <f>"(ln "&amp;B172&amp;" * ln "&amp;B173&amp;")"</f>
        <v>(ln 103 * ln 104)</v>
      </c>
      <c r="F178" s="888"/>
      <c r="G178" s="804">
        <f>G172*G173</f>
        <v>-2743149.5428117574</v>
      </c>
      <c r="H178" s="791"/>
      <c r="I178" s="789" t="s">
        <v>865</v>
      </c>
      <c r="J178" s="806">
        <f>+J63</f>
        <v>0.15860876278269179</v>
      </c>
      <c r="K178" s="814"/>
      <c r="L178" s="804">
        <f>+G178*J178</f>
        <v>-435087.55511327944</v>
      </c>
      <c r="M178" s="2604">
        <v>-435087.55511327944</v>
      </c>
      <c r="N178" s="2605">
        <f t="shared" si="10"/>
        <v>0</v>
      </c>
      <c r="O178" s="786"/>
    </row>
    <row r="179" spans="2:15">
      <c r="B179" s="788">
        <f>+B178+1</f>
        <v>109</v>
      </c>
      <c r="C179" s="789"/>
      <c r="D179" s="673" t="s">
        <v>505</v>
      </c>
      <c r="E179" s="888" t="str">
        <f>"(ln "&amp;B172&amp;" * ln "&amp;B174&amp;")"</f>
        <v>(ln 103 * ln 105)</v>
      </c>
      <c r="F179" s="888"/>
      <c r="G179" s="804">
        <f>G172*G174</f>
        <v>-20850218.783358265</v>
      </c>
      <c r="H179" s="791"/>
      <c r="I179" s="823" t="s">
        <v>271</v>
      </c>
      <c r="J179" s="806"/>
      <c r="K179" s="814"/>
      <c r="L179" s="804">
        <f>G172*L174</f>
        <v>-4933248.5076256059</v>
      </c>
      <c r="M179" s="2604">
        <v>-4933248.5076256059</v>
      </c>
      <c r="N179" s="2605">
        <f t="shared" si="10"/>
        <v>0</v>
      </c>
      <c r="O179" s="786"/>
    </row>
    <row r="180" spans="2:15">
      <c r="B180" s="788">
        <f>+B179+1</f>
        <v>110</v>
      </c>
      <c r="C180" s="789"/>
      <c r="D180" s="673" t="s">
        <v>794</v>
      </c>
      <c r="E180" s="888" t="str">
        <f>"(ln "&amp;B172&amp;" * ln "&amp;B175&amp;")"</f>
        <v>(ln 103 * ln 106)</v>
      </c>
      <c r="F180" s="888"/>
      <c r="G180" s="804">
        <f>G172*G175</f>
        <v>957369.72445484961</v>
      </c>
      <c r="H180" s="791"/>
      <c r="I180" s="823" t="s">
        <v>271</v>
      </c>
      <c r="J180" s="806"/>
      <c r="K180" s="814"/>
      <c r="L180" s="804">
        <f>G172*L175</f>
        <v>78753.972856666413</v>
      </c>
      <c r="M180" s="2604">
        <v>78753.972856666413</v>
      </c>
      <c r="N180" s="2605">
        <f t="shared" si="10"/>
        <v>0</v>
      </c>
      <c r="O180" s="786"/>
    </row>
    <row r="181" spans="2:15">
      <c r="B181" s="788"/>
      <c r="C181" s="789"/>
      <c r="D181" s="673"/>
      <c r="E181" s="888"/>
      <c r="F181" s="888"/>
      <c r="G181" s="804"/>
      <c r="H181" s="791"/>
      <c r="I181" s="890"/>
      <c r="J181" s="806"/>
      <c r="K181" s="814"/>
      <c r="L181" s="804"/>
      <c r="M181" s="2604"/>
      <c r="N181" s="2605">
        <f t="shared" si="10"/>
        <v>0</v>
      </c>
      <c r="O181" s="786"/>
    </row>
    <row r="182" spans="2:15">
      <c r="B182" s="788">
        <f>+B180+1</f>
        <v>111</v>
      </c>
      <c r="C182" s="789"/>
      <c r="D182" s="878" t="s">
        <v>216</v>
      </c>
      <c r="E182" s="786" t="str">
        <f>"(sum lns "&amp;B177&amp;" to "&amp;B180&amp;")"</f>
        <v>(sum lns 107 to 110)</v>
      </c>
      <c r="F182" s="888"/>
      <c r="G182" s="890">
        <f>SUM(G177:G180)</f>
        <v>20757340.968624022</v>
      </c>
      <c r="H182" s="791"/>
      <c r="I182" s="823" t="s">
        <v>256</v>
      </c>
      <c r="J182" s="891"/>
      <c r="K182" s="814"/>
      <c r="L182" s="814">
        <f>SUM(L177:L180)</f>
        <v>2687949.8919944759</v>
      </c>
      <c r="M182" s="2604">
        <v>2590034.6764925071</v>
      </c>
      <c r="N182" s="2605">
        <f t="shared" si="10"/>
        <v>97915.215501968749</v>
      </c>
      <c r="O182" s="786"/>
    </row>
    <row r="183" spans="2:15">
      <c r="B183" s="788"/>
      <c r="C183" s="789"/>
      <c r="D183" s="835"/>
      <c r="E183" s="786"/>
      <c r="F183" s="786"/>
      <c r="G183" s="786"/>
      <c r="H183" s="786"/>
      <c r="I183" s="805"/>
      <c r="J183" s="876"/>
      <c r="K183" s="786"/>
      <c r="L183" s="786"/>
      <c r="M183" s="2604"/>
      <c r="N183" s="2605">
        <f t="shared" si="10"/>
        <v>0</v>
      </c>
      <c r="O183" s="786"/>
    </row>
    <row r="184" spans="2:15">
      <c r="B184" s="788">
        <f>+B182+1</f>
        <v>112</v>
      </c>
      <c r="C184" s="789"/>
      <c r="D184" s="878" t="s">
        <v>337</v>
      </c>
      <c r="E184" s="878" t="str">
        <f>"(ln "&amp;B113&amp;" * ln "&amp;B238&amp;")"</f>
        <v>(ln 63 * ln 144)</v>
      </c>
      <c r="F184" s="858"/>
      <c r="G184" s="814">
        <f>+$L238*G113</f>
        <v>187763406.69731131</v>
      </c>
      <c r="H184" s="786"/>
      <c r="I184" s="823"/>
      <c r="J184" s="814"/>
      <c r="K184" s="814"/>
      <c r="L184" s="814">
        <f>+L238*L113</f>
        <v>34518859.271614552</v>
      </c>
      <c r="M184" s="2604">
        <v>34095179.172037296</v>
      </c>
      <c r="N184" s="2605">
        <f t="shared" si="10"/>
        <v>423680.09957725555</v>
      </c>
    </row>
    <row r="185" spans="2:15">
      <c r="B185" s="788"/>
      <c r="C185" s="789"/>
      <c r="D185" s="878"/>
      <c r="G185" s="814"/>
      <c r="H185" s="814"/>
      <c r="I185" s="823"/>
      <c r="J185" s="823"/>
      <c r="K185" s="814"/>
      <c r="L185" s="814"/>
      <c r="M185" s="2604"/>
      <c r="N185" s="2605">
        <f t="shared" si="10"/>
        <v>0</v>
      </c>
    </row>
    <row r="186" spans="2:15">
      <c r="B186" s="788">
        <f>+B184+1</f>
        <v>113</v>
      </c>
      <c r="C186" s="789"/>
      <c r="D186" s="892" t="str">
        <f>"INTEREST ON IPP CONTRIBUTION FOR CONST. (Note E) (Worksheet E, ln "&amp;'PSO WS E IPP Credits'!A12&amp;")"</f>
        <v>INTEREST ON IPP CONTRIBUTION FOR CONST. (Note E) (Worksheet E, ln 2)</v>
      </c>
      <c r="F186" s="875"/>
      <c r="G186" s="814">
        <f>'PSO WS E IPP Credits'!C12</f>
        <v>0</v>
      </c>
      <c r="H186" s="814"/>
      <c r="I186" s="861" t="s">
        <v>271</v>
      </c>
      <c r="J186" s="806">
        <v>1</v>
      </c>
      <c r="K186" s="842"/>
      <c r="L186" s="814">
        <f>+J186*G186</f>
        <v>0</v>
      </c>
      <c r="M186" s="2604">
        <v>0</v>
      </c>
      <c r="N186" s="2605">
        <f t="shared" si="10"/>
        <v>0</v>
      </c>
    </row>
    <row r="187" spans="2:15" ht="18.75" thickBot="1">
      <c r="B187" s="788"/>
      <c r="C187" s="789"/>
      <c r="D187" s="835"/>
      <c r="G187" s="843"/>
      <c r="H187" s="893"/>
      <c r="I187" s="823"/>
      <c r="J187" s="823"/>
      <c r="K187" s="814"/>
      <c r="L187" s="843"/>
      <c r="M187" s="2604"/>
      <c r="N187" s="2605">
        <f t="shared" si="10"/>
        <v>0</v>
      </c>
    </row>
    <row r="188" spans="2:15" ht="18.75" thickBot="1">
      <c r="B188" s="788">
        <f>+B186+1</f>
        <v>114</v>
      </c>
      <c r="C188" s="789"/>
      <c r="D188" s="783" t="s">
        <v>146</v>
      </c>
      <c r="E188" s="894"/>
      <c r="F188" s="894"/>
      <c r="G188" s="862">
        <f>G150+G156+G165+G182+G184+G186</f>
        <v>350676670.66093534</v>
      </c>
      <c r="H188" s="814"/>
      <c r="I188" s="823"/>
      <c r="J188" s="860"/>
      <c r="K188" s="814"/>
      <c r="L188" s="862">
        <f>L150+L156+L165+L182+L184+L186</f>
        <v>83018102.281065762</v>
      </c>
      <c r="M188" s="2604">
        <v>82496506.965986535</v>
      </c>
      <c r="N188" s="2605">
        <f t="shared" si="10"/>
        <v>521595.31507922709</v>
      </c>
    </row>
    <row r="189" spans="2:15" ht="18.75" thickTop="1">
      <c r="B189" s="788">
        <f>+B188+1</f>
        <v>115</v>
      </c>
      <c r="C189" s="789"/>
      <c r="D189" s="783" t="str">
        <f>"    (sum lns "&amp;B150&amp;", "&amp;B156&amp;", "&amp;B165&amp;", "&amp;B182&amp;", "&amp;B184&amp;", "&amp;B186&amp;")"</f>
        <v xml:space="preserve">    (sum lns 84, 89, 97, 111, 112, 113)</v>
      </c>
      <c r="E189" s="894"/>
      <c r="F189" s="894"/>
      <c r="G189" s="804"/>
      <c r="H189" s="814"/>
      <c r="I189" s="814"/>
      <c r="J189" s="860"/>
      <c r="K189" s="814"/>
      <c r="L189" s="804"/>
      <c r="M189" s="2604"/>
      <c r="N189" s="2605">
        <f t="shared" si="10"/>
        <v>0</v>
      </c>
    </row>
    <row r="190" spans="2:15">
      <c r="B190" s="788"/>
      <c r="C190" s="789"/>
      <c r="D190" s="783"/>
      <c r="E190" s="894"/>
      <c r="F190" s="894"/>
      <c r="G190" s="804"/>
      <c r="H190" s="814"/>
      <c r="I190" s="814"/>
      <c r="J190" s="860"/>
      <c r="K190" s="814"/>
      <c r="L190" s="804"/>
      <c r="M190" s="2604"/>
      <c r="N190" s="2605">
        <f t="shared" si="10"/>
        <v>0</v>
      </c>
    </row>
    <row r="191" spans="2:15">
      <c r="B191" s="788">
        <f>+B189+1</f>
        <v>116</v>
      </c>
      <c r="C191" s="789"/>
      <c r="D191" s="783" t="s">
        <v>414</v>
      </c>
      <c r="F191" s="894"/>
      <c r="G191" s="820">
        <f>+'PSO WS K State Taxes'!I48</f>
        <v>0</v>
      </c>
      <c r="H191" s="814"/>
      <c r="I191" s="823" t="s">
        <v>271</v>
      </c>
      <c r="J191" s="860"/>
      <c r="K191" s="814"/>
      <c r="L191" s="820">
        <f>+'PSO WS K State Taxes'!K48</f>
        <v>0</v>
      </c>
      <c r="M191" s="2604">
        <v>0</v>
      </c>
      <c r="N191" s="2605">
        <f t="shared" si="10"/>
        <v>0</v>
      </c>
    </row>
    <row r="192" spans="2:15">
      <c r="B192" s="788"/>
      <c r="C192" s="791"/>
      <c r="D192" s="791"/>
      <c r="E192" s="791"/>
      <c r="F192" s="791"/>
      <c r="G192" s="791"/>
      <c r="H192" s="791"/>
      <c r="I192" s="782"/>
      <c r="J192" s="849"/>
      <c r="K192" s="782"/>
      <c r="M192" s="2604"/>
      <c r="N192" s="2605">
        <f t="shared" si="10"/>
        <v>0</v>
      </c>
    </row>
    <row r="193" spans="2:16" ht="18.75" thickBot="1">
      <c r="B193" s="788">
        <f>+B191+1</f>
        <v>117</v>
      </c>
      <c r="C193" s="789"/>
      <c r="D193" s="662" t="s">
        <v>911</v>
      </c>
      <c r="E193" s="786" t="str">
        <f>"(ln "&amp;B188&amp;" + "&amp;B191&amp;")"</f>
        <v>(ln 114 + 116)</v>
      </c>
      <c r="G193" s="895">
        <f>+G188+G191</f>
        <v>350676670.66093534</v>
      </c>
      <c r="J193" s="860"/>
      <c r="L193" s="895">
        <f>+L188+L191</f>
        <v>83018102.281065762</v>
      </c>
      <c r="M193" s="2604">
        <v>82496506.965986535</v>
      </c>
      <c r="N193" s="2605">
        <f t="shared" si="10"/>
        <v>521595.31507922709</v>
      </c>
    </row>
    <row r="194" spans="2:16" ht="18.75" thickTop="1">
      <c r="B194" s="788"/>
      <c r="C194" s="789"/>
      <c r="D194" s="783"/>
      <c r="F194" s="896"/>
      <c r="M194" s="2202"/>
      <c r="N194" s="2202"/>
    </row>
    <row r="195" spans="2:16">
      <c r="B195" s="788"/>
      <c r="C195" s="789"/>
      <c r="F195" s="896"/>
      <c r="M195" s="2202"/>
      <c r="N195" s="2202"/>
    </row>
    <row r="196" spans="2:16">
      <c r="B196" s="788"/>
      <c r="C196" s="789"/>
      <c r="D196" s="783"/>
      <c r="F196" s="863" t="str">
        <f>F116</f>
        <v xml:space="preserve">AEP West SPP Member Operating Companies </v>
      </c>
      <c r="M196" s="2202"/>
      <c r="N196" s="2202"/>
    </row>
    <row r="197" spans="2:16">
      <c r="B197" s="788"/>
      <c r="C197" s="789"/>
      <c r="D197" s="783"/>
      <c r="F197" s="863" t="str">
        <f>F117</f>
        <v>Transmission Cost of Service Formula Rate</v>
      </c>
      <c r="M197" s="2202"/>
      <c r="N197" s="2202"/>
    </row>
    <row r="198" spans="2:16">
      <c r="B198" s="662"/>
      <c r="C198" s="789"/>
      <c r="F198" s="863" t="str">
        <f>F118</f>
        <v>Utilizing Actual / Projected Cost Data for the 2018 Rate Year</v>
      </c>
      <c r="M198" s="2202"/>
      <c r="N198" s="2202"/>
    </row>
    <row r="199" spans="2:16">
      <c r="B199" s="788"/>
      <c r="C199" s="789"/>
      <c r="E199" s="863"/>
      <c r="F199" s="863"/>
      <c r="G199" s="863"/>
      <c r="H199" s="863"/>
      <c r="I199" s="863"/>
      <c r="J199" s="863"/>
      <c r="K199" s="863"/>
      <c r="M199" s="2202"/>
      <c r="N199" s="2202"/>
    </row>
    <row r="200" spans="2:16">
      <c r="B200" s="788"/>
      <c r="C200" s="789"/>
      <c r="E200" s="783"/>
      <c r="F200" s="863" t="str">
        <f>F120</f>
        <v>PUBLIC SERVICE COMPANY OF OKLAHOMA</v>
      </c>
      <c r="G200" s="783"/>
      <c r="H200" s="783"/>
      <c r="I200" s="783"/>
      <c r="J200" s="783"/>
      <c r="K200" s="783"/>
      <c r="L200" s="783"/>
      <c r="M200" s="2202"/>
      <c r="N200" s="2202"/>
    </row>
    <row r="201" spans="2:16">
      <c r="B201" s="788"/>
      <c r="C201" s="789"/>
      <c r="E201" s="783"/>
      <c r="F201" s="863"/>
      <c r="G201" s="814"/>
      <c r="H201" s="783"/>
      <c r="I201" s="783"/>
      <c r="J201" s="783"/>
      <c r="K201" s="783"/>
      <c r="L201" s="814"/>
      <c r="M201" s="2202"/>
      <c r="N201" s="2202"/>
    </row>
    <row r="202" spans="2:16">
      <c r="B202" s="788"/>
      <c r="C202" s="789"/>
      <c r="F202" s="864" t="s">
        <v>220</v>
      </c>
      <c r="H202" s="655"/>
      <c r="I202" s="655"/>
      <c r="J202" s="655"/>
      <c r="K202" s="655"/>
      <c r="L202" s="655"/>
      <c r="M202" s="2202"/>
      <c r="N202" s="2202"/>
    </row>
    <row r="203" spans="2:16">
      <c r="B203" s="788"/>
      <c r="C203" s="789"/>
      <c r="D203" s="897"/>
      <c r="E203" s="655"/>
      <c r="F203" s="655"/>
      <c r="G203" s="655"/>
      <c r="H203" s="655"/>
      <c r="I203" s="655"/>
      <c r="J203" s="655"/>
      <c r="K203" s="655"/>
      <c r="L203" s="655"/>
      <c r="M203" s="2202"/>
      <c r="N203" s="2202"/>
    </row>
    <row r="204" spans="2:16">
      <c r="B204" s="788" t="s">
        <v>258</v>
      </c>
      <c r="C204" s="789"/>
      <c r="D204" s="897"/>
      <c r="E204" s="655"/>
      <c r="F204" s="655"/>
      <c r="G204" s="655"/>
      <c r="H204" s="655"/>
      <c r="I204" s="655"/>
      <c r="J204" s="655"/>
      <c r="K204" s="655"/>
      <c r="L204" s="655"/>
      <c r="M204" s="2202"/>
      <c r="N204" s="2202"/>
    </row>
    <row r="205" spans="2:16" ht="18.75" thickBot="1">
      <c r="B205" s="795" t="s">
        <v>259</v>
      </c>
      <c r="C205" s="796"/>
      <c r="D205" s="783" t="s">
        <v>1376</v>
      </c>
      <c r="E205" s="655"/>
      <c r="F205" s="655"/>
      <c r="G205" s="655"/>
      <c r="H205" s="655"/>
      <c r="I205" s="655"/>
      <c r="J205" s="655"/>
      <c r="M205" s="2202"/>
      <c r="N205" s="2202"/>
      <c r="P205" s="791"/>
    </row>
    <row r="206" spans="2:16">
      <c r="B206" s="788">
        <f>+B193+1</f>
        <v>118</v>
      </c>
      <c r="C206" s="789"/>
      <c r="D206" s="655" t="s">
        <v>307</v>
      </c>
      <c r="E206" s="898" t="str">
        <f>"(ln "&amp;B56&amp;")"</f>
        <v>(ln 16)</v>
      </c>
      <c r="F206" s="659"/>
      <c r="H206" s="873"/>
      <c r="I206" s="873"/>
      <c r="J206" s="873"/>
      <c r="K206" s="873"/>
      <c r="L206" s="804">
        <f>+G56</f>
        <v>875615136.5</v>
      </c>
      <c r="M206" s="2202"/>
      <c r="N206" s="2202"/>
      <c r="P206" s="791"/>
    </row>
    <row r="207" spans="2:16">
      <c r="B207" s="788">
        <f>+B206+1</f>
        <v>119</v>
      </c>
      <c r="C207" s="789"/>
      <c r="D207" s="899" t="str">
        <f>"  Less transmission plant excluded from SPP Tariff  (Worksheet A-1, ln "&amp;'PSO WS A-1 - Plant'!A44&amp;" Col. (F))  (Note Q)"</f>
        <v xml:space="preserve">  Less transmission plant excluded from SPP Tariff  (Worksheet A-1, ln 28 Col. (F))  (Note Q)</v>
      </c>
      <c r="E207" s="658"/>
      <c r="F207" s="658"/>
      <c r="G207" s="900"/>
      <c r="H207" s="658"/>
      <c r="I207" s="658"/>
      <c r="J207" s="658"/>
      <c r="K207" s="658"/>
      <c r="L207" s="820">
        <f>+'PSO WS A-1 - Plant'!G44</f>
        <v>48982429.537690669</v>
      </c>
      <c r="M207" s="2202"/>
      <c r="N207" s="2202"/>
      <c r="P207" s="791"/>
    </row>
    <row r="208" spans="2:16" ht="18.75" thickBot="1">
      <c r="B208" s="788">
        <f>+B207+1</f>
        <v>120</v>
      </c>
      <c r="C208" s="789"/>
      <c r="D208" s="659" t="str">
        <f>"  Less transmission plant included in OATT Ancillary Services (Worksheet A-1, ln "&amp;'PSO WS A-1 - Plant'!A44&amp;", Col. (E))  (Note R)"</f>
        <v xml:space="preserve">  Less transmission plant included in OATT Ancillary Services (Worksheet A-1, ln 28, Col. (E))  (Note R)</v>
      </c>
      <c r="E208" s="659"/>
      <c r="F208" s="659"/>
      <c r="G208" s="834"/>
      <c r="H208" s="873"/>
      <c r="I208" s="873"/>
      <c r="J208" s="834"/>
      <c r="K208" s="873"/>
      <c r="L208" s="901">
        <f>+'PSO WS A-1 - Plant'!F44</f>
        <v>23995792.5</v>
      </c>
      <c r="M208" s="2202"/>
      <c r="N208" s="2202"/>
      <c r="P208" s="791"/>
    </row>
    <row r="209" spans="2:16">
      <c r="B209" s="788">
        <f>+B208+1</f>
        <v>121</v>
      </c>
      <c r="C209" s="789"/>
      <c r="D209" s="655" t="s">
        <v>86</v>
      </c>
      <c r="E209" s="902" t="str">
        <f>"(ln "&amp;B206&amp;" - ln "&amp;B207&amp;" - ln "&amp;B208&amp;")"</f>
        <v>(ln 118 - ln 119 - ln 120)</v>
      </c>
      <c r="F209" s="659"/>
      <c r="H209" s="873"/>
      <c r="I209" s="873"/>
      <c r="J209" s="834"/>
      <c r="K209" s="873"/>
      <c r="L209" s="804">
        <f>L206-L207-L208</f>
        <v>802636914.46230936</v>
      </c>
      <c r="M209" s="2202"/>
      <c r="N209" s="2202"/>
      <c r="P209" s="791"/>
    </row>
    <row r="210" spans="2:16">
      <c r="B210" s="788"/>
      <c r="C210" s="789"/>
      <c r="E210" s="659"/>
      <c r="F210" s="659"/>
      <c r="G210" s="834"/>
      <c r="H210" s="873"/>
      <c r="I210" s="873"/>
      <c r="J210" s="834"/>
      <c r="K210" s="873"/>
      <c r="L210" s="658"/>
      <c r="M210" s="2202"/>
      <c r="N210" s="2202"/>
      <c r="P210" s="791"/>
    </row>
    <row r="211" spans="2:16">
      <c r="B211" s="788">
        <f>+B209+1</f>
        <v>122</v>
      </c>
      <c r="C211" s="789"/>
      <c r="D211" s="655" t="s">
        <v>87</v>
      </c>
      <c r="E211" s="896" t="str">
        <f>"(ln "&amp;B209&amp;" / ln "&amp;B206&amp;")"</f>
        <v>(ln 121 / ln 118)</v>
      </c>
      <c r="F211" s="903"/>
      <c r="H211" s="904"/>
      <c r="I211" s="905"/>
      <c r="J211" s="905"/>
      <c r="K211" s="906" t="s">
        <v>284</v>
      </c>
      <c r="L211" s="907">
        <f>IF(L206&gt;0,L209/L206,0)</f>
        <v>0.91665491036461699</v>
      </c>
      <c r="M211" s="2202"/>
      <c r="N211" s="2202"/>
      <c r="P211" s="791"/>
    </row>
    <row r="212" spans="2:16">
      <c r="B212" s="788"/>
      <c r="C212" s="789"/>
      <c r="D212" s="897"/>
      <c r="E212" s="655"/>
      <c r="F212" s="655"/>
      <c r="G212" s="799"/>
      <c r="H212" s="655"/>
      <c r="I212" s="789"/>
      <c r="J212" s="655"/>
      <c r="K212" s="655"/>
      <c r="L212" s="655"/>
      <c r="M212" s="2202"/>
      <c r="N212" s="2202"/>
    </row>
    <row r="213" spans="2:16" ht="45.75">
      <c r="B213" s="788">
        <f>B211+1</f>
        <v>123</v>
      </c>
      <c r="C213" s="789"/>
      <c r="D213" s="783" t="s">
        <v>221</v>
      </c>
      <c r="E213" s="805" t="s">
        <v>56</v>
      </c>
      <c r="F213" s="805" t="s">
        <v>323</v>
      </c>
      <c r="G213" s="908" t="s">
        <v>355</v>
      </c>
      <c r="H213" s="863" t="s">
        <v>260</v>
      </c>
      <c r="I213" s="805"/>
      <c r="J213" s="786"/>
      <c r="K213" s="786"/>
      <c r="L213" s="786"/>
      <c r="M213" s="2202"/>
      <c r="N213" s="2202"/>
    </row>
    <row r="214" spans="2:16">
      <c r="B214" s="788">
        <f t="shared" ref="B214:B219" si="14">+B213+1</f>
        <v>124</v>
      </c>
      <c r="C214" s="789"/>
      <c r="D214" s="783" t="s">
        <v>268</v>
      </c>
      <c r="E214" s="786" t="s">
        <v>59</v>
      </c>
      <c r="F214" s="868">
        <v>28711327</v>
      </c>
      <c r="G214" s="868">
        <v>12463333</v>
      </c>
      <c r="H214" s="820">
        <f>+F214+G214</f>
        <v>41174660</v>
      </c>
      <c r="I214" s="805" t="s">
        <v>269</v>
      </c>
      <c r="J214" s="806">
        <v>0</v>
      </c>
      <c r="K214" s="909"/>
      <c r="L214" s="814">
        <f>(F214+G214)*J214</f>
        <v>0</v>
      </c>
      <c r="M214" s="2202"/>
      <c r="N214" s="2202"/>
    </row>
    <row r="215" spans="2:16">
      <c r="B215" s="788">
        <f>+B214+1</f>
        <v>125</v>
      </c>
      <c r="C215" s="789"/>
      <c r="D215" s="835" t="s">
        <v>270</v>
      </c>
      <c r="E215" s="786" t="s">
        <v>149</v>
      </c>
      <c r="F215" s="868">
        <v>3816825</v>
      </c>
      <c r="G215" s="868">
        <v>3274568</v>
      </c>
      <c r="H215" s="820">
        <f>+F215+G215</f>
        <v>7091393</v>
      </c>
      <c r="I215" s="789" t="s">
        <v>262</v>
      </c>
      <c r="J215" s="806">
        <f>+L211</f>
        <v>0.91665491036461699</v>
      </c>
      <c r="L215" s="804">
        <f>(F215+G215)*J215</f>
        <v>6500360.2147752726</v>
      </c>
      <c r="M215" s="2202"/>
      <c r="N215" s="2202"/>
    </row>
    <row r="216" spans="2:16">
      <c r="B216" s="788">
        <f>+B215+1</f>
        <v>126</v>
      </c>
      <c r="C216" s="789"/>
      <c r="D216" s="835" t="s">
        <v>147</v>
      </c>
      <c r="E216" s="786" t="s">
        <v>148</v>
      </c>
      <c r="F216" s="868">
        <v>0</v>
      </c>
      <c r="G216" s="868">
        <v>0</v>
      </c>
      <c r="H216" s="820">
        <f>+F216+G216</f>
        <v>0</v>
      </c>
      <c r="I216" s="805" t="s">
        <v>269</v>
      </c>
      <c r="J216" s="806">
        <v>0</v>
      </c>
      <c r="K216" s="909"/>
      <c r="L216" s="814">
        <f>(F216+G216)*J216</f>
        <v>0</v>
      </c>
      <c r="M216" s="2202"/>
      <c r="N216" s="2202"/>
    </row>
    <row r="217" spans="2:16">
      <c r="B217" s="788">
        <f t="shared" si="14"/>
        <v>127</v>
      </c>
      <c r="C217" s="789"/>
      <c r="D217" s="835" t="s">
        <v>272</v>
      </c>
      <c r="E217" s="786" t="s">
        <v>57</v>
      </c>
      <c r="F217" s="868">
        <v>21448924</v>
      </c>
      <c r="G217" s="868">
        <v>2161157</v>
      </c>
      <c r="H217" s="820">
        <f>+F217+G217</f>
        <v>23610081</v>
      </c>
      <c r="I217" s="805" t="s">
        <v>269</v>
      </c>
      <c r="J217" s="806">
        <v>0</v>
      </c>
      <c r="K217" s="909"/>
      <c r="L217" s="814">
        <f>(F217+G217)*J217</f>
        <v>0</v>
      </c>
      <c r="M217" s="2202"/>
      <c r="N217" s="2202"/>
    </row>
    <row r="218" spans="2:16" ht="18.75" thickBot="1">
      <c r="B218" s="788">
        <f t="shared" si="14"/>
        <v>128</v>
      </c>
      <c r="C218" s="789"/>
      <c r="D218" s="835" t="s">
        <v>338</v>
      </c>
      <c r="E218" s="910" t="s">
        <v>58</v>
      </c>
      <c r="F218" s="868">
        <v>5109356</v>
      </c>
      <c r="G218" s="868">
        <v>5985825</v>
      </c>
      <c r="H218" s="901">
        <f>+F218+G218</f>
        <v>11095181</v>
      </c>
      <c r="I218" s="805" t="s">
        <v>269</v>
      </c>
      <c r="J218" s="806">
        <v>0</v>
      </c>
      <c r="K218" s="909"/>
      <c r="L218" s="843">
        <f>(F218+G218)*J218</f>
        <v>0</v>
      </c>
      <c r="M218" s="2202"/>
      <c r="N218" s="2202"/>
    </row>
    <row r="219" spans="2:16">
      <c r="B219" s="788">
        <f t="shared" si="14"/>
        <v>129</v>
      </c>
      <c r="C219" s="789"/>
      <c r="D219" s="835" t="s">
        <v>260</v>
      </c>
      <c r="E219" s="835" t="str">
        <f>"(sum lns "&amp;B214&amp;" to "&amp;B218&amp;")"</f>
        <v>(sum lns 124 to 128)</v>
      </c>
      <c r="F219" s="871">
        <f>SUM(F214:F218)</f>
        <v>59086432</v>
      </c>
      <c r="G219" s="871">
        <f>SUM(G214:G218)</f>
        <v>23884883</v>
      </c>
      <c r="H219" s="786">
        <f>SUM(H214:H218)</f>
        <v>82971315</v>
      </c>
      <c r="I219" s="805"/>
      <c r="J219" s="786"/>
      <c r="K219" s="786"/>
      <c r="L219" s="814">
        <f>SUM(L214:L218)</f>
        <v>6500360.2147752726</v>
      </c>
      <c r="M219" s="2202"/>
      <c r="N219" s="2202"/>
    </row>
    <row r="220" spans="2:16">
      <c r="B220" s="788"/>
      <c r="C220" s="789"/>
      <c r="D220" s="835" t="s">
        <v>256</v>
      </c>
      <c r="E220" s="786" t="s">
        <v>256</v>
      </c>
      <c r="F220" s="786"/>
      <c r="H220" s="786"/>
      <c r="I220" s="863"/>
      <c r="M220" s="2202"/>
      <c r="N220" s="2202"/>
    </row>
    <row r="221" spans="2:16">
      <c r="B221" s="788">
        <f>B219+1</f>
        <v>130</v>
      </c>
      <c r="C221" s="789"/>
      <c r="D221" s="835" t="s">
        <v>222</v>
      </c>
      <c r="E221" s="786"/>
      <c r="F221" s="786"/>
      <c r="G221" s="786"/>
      <c r="H221" s="786"/>
      <c r="I221" s="863"/>
      <c r="K221" s="848" t="s">
        <v>223</v>
      </c>
      <c r="L221" s="845">
        <f>IF(H219&lt;&gt;0,L219/(F219+G219),0)</f>
        <v>7.834466905550759E-2</v>
      </c>
      <c r="M221" s="2202"/>
      <c r="N221" s="2202"/>
    </row>
    <row r="222" spans="2:16">
      <c r="B222" s="788"/>
      <c r="C222" s="789"/>
      <c r="D222" s="835"/>
      <c r="E222" s="786"/>
      <c r="F222" s="786"/>
      <c r="G222" s="786"/>
      <c r="H222" s="786"/>
      <c r="I222" s="805"/>
      <c r="J222" s="786"/>
      <c r="K222" s="786"/>
      <c r="L222" s="786"/>
      <c r="M222" s="2202"/>
      <c r="N222" s="2202"/>
    </row>
    <row r="223" spans="2:16">
      <c r="B223" s="788"/>
      <c r="C223" s="789"/>
      <c r="D223" s="835"/>
      <c r="E223" s="896"/>
      <c r="F223" s="786"/>
      <c r="H223" s="786"/>
      <c r="I223" s="786"/>
      <c r="J223" s="786"/>
      <c r="K223" s="831"/>
      <c r="L223" s="911"/>
      <c r="M223" s="2202"/>
      <c r="N223" s="2202"/>
    </row>
    <row r="224" spans="2:16" ht="18.75" thickBot="1">
      <c r="B224" s="788">
        <f>+B221+1</f>
        <v>131</v>
      </c>
      <c r="C224" s="789"/>
      <c r="D224" s="835" t="s">
        <v>1377</v>
      </c>
      <c r="E224" s="786"/>
      <c r="F224" s="786"/>
      <c r="G224" s="786"/>
      <c r="H224" s="786"/>
      <c r="I224" s="786"/>
      <c r="J224" s="786"/>
      <c r="K224" s="786"/>
      <c r="L224" s="912" t="s">
        <v>285</v>
      </c>
      <c r="M224" s="2202"/>
      <c r="N224" s="2202"/>
    </row>
    <row r="225" spans="2:21">
      <c r="B225" s="788">
        <f t="shared" ref="B225:B232" si="15">+B224+1</f>
        <v>132</v>
      </c>
      <c r="C225" s="789"/>
      <c r="D225" s="786" t="s">
        <v>358</v>
      </c>
      <c r="E225" s="662" t="str">
        <f>"Long Term Interest (Worksheet M, ln. "&amp;'PSO WS M - Cost of Capital'!A58&amp;", col. "&amp;'PSO WS M - Cost of Capital'!E48&amp;")"</f>
        <v>Long Term Interest (Worksheet M, ln. 37, col. (d))</v>
      </c>
      <c r="F225" s="786"/>
      <c r="G225" s="786"/>
      <c r="H225" s="786"/>
      <c r="I225" s="786"/>
      <c r="J225" s="786"/>
      <c r="K225" s="786"/>
      <c r="L225" s="814">
        <f>+'PSO WS M - Cost of Capital'!E58</f>
        <v>60461431.68</v>
      </c>
      <c r="M225" s="2202"/>
      <c r="N225" s="2202"/>
    </row>
    <row r="226" spans="2:21">
      <c r="B226" s="788">
        <f t="shared" si="15"/>
        <v>133</v>
      </c>
      <c r="C226" s="789"/>
      <c r="D226" s="786" t="s">
        <v>359</v>
      </c>
      <c r="E226" s="662" t="str">
        <f>"Preferred Stock Dividends (Worksheet M, ln. "&amp;'PSO WS M - Cost of Capital'!A87&amp;", col. "&amp;'PSO WS M - Cost of Capital'!E48&amp;")"</f>
        <v>Preferred Stock Dividends (Worksheet M, ln. 57, col. (d))</v>
      </c>
      <c r="F226" s="786"/>
      <c r="G226" s="786"/>
      <c r="H226" s="786"/>
      <c r="I226" s="786"/>
      <c r="J226" s="786"/>
      <c r="K226" s="786"/>
      <c r="L226" s="814">
        <f>+'PSO WS M - Cost of Capital'!E87</f>
        <v>0</v>
      </c>
      <c r="M226" s="2202"/>
      <c r="N226" s="2202"/>
    </row>
    <row r="227" spans="2:21" ht="18.75" thickBot="1">
      <c r="B227" s="788">
        <f t="shared" si="15"/>
        <v>134</v>
      </c>
      <c r="C227" s="789"/>
      <c r="D227" s="913" t="s">
        <v>365</v>
      </c>
      <c r="E227" s="786"/>
      <c r="F227" s="786"/>
      <c r="G227" s="786"/>
      <c r="H227" s="791"/>
      <c r="I227" s="791"/>
      <c r="J227" s="791"/>
      <c r="K227" s="786"/>
      <c r="L227" s="914" t="s">
        <v>182</v>
      </c>
      <c r="M227" s="2202"/>
      <c r="N227" s="2202"/>
    </row>
    <row r="228" spans="2:21">
      <c r="B228" s="788">
        <f t="shared" si="15"/>
        <v>135</v>
      </c>
      <c r="C228" s="789"/>
      <c r="D228" s="786" t="s">
        <v>366</v>
      </c>
      <c r="E228" s="662" t="str">
        <f>"(Worksheet M, ln. "&amp;'PSO WS M - Cost of Capital'!A24&amp;", col. "&amp;'PSO WS M - Cost of Capital'!C9&amp;")"</f>
        <v>(Worksheet M, ln. 14, col. (b))</v>
      </c>
      <c r="F228" s="786"/>
      <c r="G228" s="655"/>
      <c r="H228" s="791"/>
      <c r="I228" s="791"/>
      <c r="J228" s="791"/>
      <c r="K228" s="786"/>
      <c r="L228" s="820">
        <f>+'PSO WS M - Cost of Capital'!C24</f>
        <v>1231714510.7040002</v>
      </c>
      <c r="M228" s="2202"/>
      <c r="N228" s="2202"/>
    </row>
    <row r="229" spans="2:21">
      <c r="B229" s="788">
        <f t="shared" si="15"/>
        <v>136</v>
      </c>
      <c r="C229" s="789"/>
      <c r="D229" s="786" t="str">
        <f>"Less Preferred Stock (ln "&amp;B236&amp;")"</f>
        <v>Less Preferred Stock (ln 142)</v>
      </c>
      <c r="E229" s="662" t="str">
        <f>"(Worksheet M, ln. "&amp;'PSO WS M - Cost of Capital'!A24&amp;", col. "&amp;'PSO WS M - Cost of Capital'!D9&amp;")"</f>
        <v>(Worksheet M, ln. 14, col. (c))</v>
      </c>
      <c r="F229" s="786"/>
      <c r="G229" s="786"/>
      <c r="H229" s="791"/>
      <c r="I229" s="791"/>
      <c r="J229" s="791"/>
      <c r="K229" s="786"/>
      <c r="L229" s="820">
        <f>+'PSO WS M - Cost of Capital'!D24</f>
        <v>0</v>
      </c>
      <c r="M229" s="2202"/>
      <c r="N229" s="2202"/>
    </row>
    <row r="230" spans="2:21">
      <c r="B230" s="788">
        <f t="shared" si="15"/>
        <v>137</v>
      </c>
      <c r="C230" s="789"/>
      <c r="D230" s="786" t="s">
        <v>52</v>
      </c>
      <c r="E230" s="662" t="str">
        <f>"(Worksheet M, ln. "&amp;'PSO WS M - Cost of Capital'!A24&amp;", col. "&amp;'PSO WS M - Cost of Capital'!E9&amp;")"</f>
        <v>(Worksheet M, ln. 14, col. (d))</v>
      </c>
      <c r="F230" s="786"/>
      <c r="G230" s="786"/>
      <c r="H230" s="791"/>
      <c r="I230" s="791"/>
      <c r="J230" s="791"/>
      <c r="K230" s="786"/>
      <c r="L230" s="820">
        <f>+'PSO WS M - Cost of Capital'!E24</f>
        <v>0</v>
      </c>
      <c r="M230" s="2202"/>
      <c r="N230" s="2202"/>
    </row>
    <row r="231" spans="2:21" ht="18.75" thickBot="1">
      <c r="B231" s="788">
        <f t="shared" si="15"/>
        <v>138</v>
      </c>
      <c r="C231" s="789"/>
      <c r="D231" s="786" t="s">
        <v>367</v>
      </c>
      <c r="E231" s="662" t="str">
        <f>"(Worksheet M, ln. "&amp;'PSO WS M - Cost of Capital'!A24&amp;", col. "&amp;'PSO WS M - Cost of Capital'!F9&amp;")"</f>
        <v>(Worksheet M, ln. 14, col. (e))</v>
      </c>
      <c r="F231" s="786"/>
      <c r="G231" s="786"/>
      <c r="H231" s="791"/>
      <c r="I231" s="791"/>
      <c r="J231" s="791"/>
      <c r="K231" s="786"/>
      <c r="L231" s="901">
        <f>+'PSO WS M - Cost of Capital'!F24</f>
        <v>2334432.77</v>
      </c>
      <c r="M231" s="2202"/>
      <c r="N231" s="2202"/>
    </row>
    <row r="232" spans="2:21">
      <c r="B232" s="788">
        <f t="shared" si="15"/>
        <v>139</v>
      </c>
      <c r="C232" s="789"/>
      <c r="D232" s="662" t="s">
        <v>368</v>
      </c>
      <c r="E232" s="786" t="str">
        <f>"(ln "&amp;B228&amp;" - ln "&amp;B229&amp;" - ln "&amp;B230&amp;" - ln "&amp;B231&amp;")"</f>
        <v>(ln 135 - ln 136 - ln 137 - ln 138)</v>
      </c>
      <c r="F232" s="800"/>
      <c r="H232" s="655"/>
      <c r="I232" s="655"/>
      <c r="J232" s="655"/>
      <c r="K232" s="655"/>
      <c r="L232" s="804">
        <f>+L228-L229-L230-L231</f>
        <v>1229380077.9340003</v>
      </c>
      <c r="M232" s="2202"/>
      <c r="N232" s="2202"/>
    </row>
    <row r="233" spans="2:21" ht="52.5" customHeight="1">
      <c r="B233" s="788"/>
      <c r="C233" s="789"/>
      <c r="D233" s="835"/>
      <c r="E233" s="786"/>
      <c r="F233" s="786"/>
      <c r="G233" s="915" t="s">
        <v>422</v>
      </c>
      <c r="H233" s="916"/>
      <c r="I233" s="786"/>
      <c r="J233" s="805" t="s">
        <v>286</v>
      </c>
      <c r="K233" s="786"/>
      <c r="L233" s="786"/>
      <c r="M233" s="2202"/>
      <c r="N233" s="2202"/>
    </row>
    <row r="234" spans="2:21" ht="18.75" thickBot="1">
      <c r="B234" s="788">
        <f>+B232+1</f>
        <v>140</v>
      </c>
      <c r="C234" s="789"/>
      <c r="D234" s="835"/>
      <c r="E234" s="797" t="s">
        <v>421</v>
      </c>
      <c r="G234" s="917"/>
      <c r="H234" s="916"/>
      <c r="I234" s="786"/>
      <c r="J234" s="797" t="s">
        <v>413</v>
      </c>
      <c r="K234" s="786"/>
      <c r="L234" s="797" t="s">
        <v>288</v>
      </c>
      <c r="M234" s="2202"/>
      <c r="N234" s="2202"/>
      <c r="O234" s="783"/>
      <c r="P234" s="783"/>
      <c r="Q234" s="783"/>
      <c r="R234" s="783"/>
      <c r="S234" s="783"/>
      <c r="T234" s="783"/>
      <c r="U234" s="783"/>
    </row>
    <row r="235" spans="2:21">
      <c r="B235" s="788">
        <f>+B234+1</f>
        <v>141</v>
      </c>
      <c r="C235" s="789"/>
      <c r="D235" s="786" t="str">
        <f>"Avg Long Term Debt (Worksheet M, ln. "&amp;'PSO WS M - Cost of Capital'!A43&amp;", col. (g))"</f>
        <v>Avg Long Term Debt (Worksheet M, ln. 28, col. (g))</v>
      </c>
      <c r="E235" s="814">
        <f>+'PSO WS M - Cost of Capital'!H43</f>
        <v>1292435122.655</v>
      </c>
      <c r="G235" s="817">
        <f>IF($E$238&gt;0,E235/$E$238,0)</f>
        <v>0.51250191622016406</v>
      </c>
      <c r="H235" s="916"/>
      <c r="I235" s="918"/>
      <c r="J235" s="819">
        <f>+'PSO WS M - Cost of Capital'!E60</f>
        <v>4.6781018729819407E-2</v>
      </c>
      <c r="L235" s="919">
        <f>J235*G235</f>
        <v>2.3975361741763832E-2</v>
      </c>
      <c r="M235" s="2202"/>
      <c r="N235" s="2202"/>
      <c r="O235" s="783"/>
      <c r="P235" s="783"/>
      <c r="Q235" s="783"/>
      <c r="R235" s="783"/>
      <c r="S235" s="783"/>
      <c r="T235" s="783"/>
      <c r="U235" s="783"/>
    </row>
    <row r="236" spans="2:21">
      <c r="B236" s="788">
        <f>+B235+1</f>
        <v>142</v>
      </c>
      <c r="C236" s="789"/>
      <c r="D236" s="786" t="str">
        <f>"Avg Preferred Stock (Worksheet M, ln. "&amp;'PSO WS M - Cost of Capital'!A24&amp;", col. "&amp;'PSO WS M - Cost of Capital'!D9&amp;")"</f>
        <v>Avg Preferred Stock (Worksheet M, ln. 14, col. (c))</v>
      </c>
      <c r="E236" s="814">
        <f>+'PSO WS M - Cost of Capital'!D24</f>
        <v>0</v>
      </c>
      <c r="G236" s="817">
        <f>IF($E$238&gt;0,E236/$E$238,0)</f>
        <v>0</v>
      </c>
      <c r="H236" s="916"/>
      <c r="I236" s="918"/>
      <c r="J236" s="819">
        <f>IF(E236&gt;0,L226/E236,0)</f>
        <v>0</v>
      </c>
      <c r="L236" s="919">
        <f>J236*G236</f>
        <v>0</v>
      </c>
      <c r="M236" s="2202"/>
      <c r="N236" s="2202"/>
      <c r="O236" s="783"/>
    </row>
    <row r="237" spans="2:21" ht="18.75" thickBot="1">
      <c r="B237" s="788">
        <f>+B236+1</f>
        <v>143</v>
      </c>
      <c r="C237" s="789"/>
      <c r="D237" s="835" t="str">
        <f>"Avg Common Stock (ln "&amp;B232&amp;")"</f>
        <v>Avg Common Stock (ln 139)</v>
      </c>
      <c r="E237" s="843">
        <f>+L232</f>
        <v>1229380077.9340003</v>
      </c>
      <c r="G237" s="817">
        <f>IF($E$238&gt;0,E237/$E$238,0)</f>
        <v>0.48749808377983594</v>
      </c>
      <c r="H237" s="916"/>
      <c r="I237" s="918"/>
      <c r="J237" s="920">
        <v>0.105</v>
      </c>
      <c r="L237" s="921">
        <f>J237*G237</f>
        <v>5.1187298796882774E-2</v>
      </c>
      <c r="M237" s="2202"/>
      <c r="N237" s="2202"/>
      <c r="O237" s="783"/>
    </row>
    <row r="238" spans="2:21">
      <c r="B238" s="788">
        <f>+B237+1</f>
        <v>144</v>
      </c>
      <c r="C238" s="789"/>
      <c r="D238" s="835" t="str">
        <f>"  Total  (sum lns "&amp;B235&amp;" to "&amp;B237&amp;")"</f>
        <v xml:space="preserve">  Total  (sum lns 141 to 143)</v>
      </c>
      <c r="E238" s="814">
        <f>E237+E236+E235</f>
        <v>2521815200.5890002</v>
      </c>
      <c r="G238" s="786" t="s">
        <v>256</v>
      </c>
      <c r="H238" s="916"/>
      <c r="I238" s="786"/>
      <c r="J238" s="791"/>
      <c r="K238" s="922" t="s">
        <v>210</v>
      </c>
      <c r="L238" s="923">
        <f>SUM(L235:L237)</f>
        <v>7.5162660538646606E-2</v>
      </c>
      <c r="M238" s="2202"/>
      <c r="N238" s="2202"/>
      <c r="P238" s="924"/>
    </row>
    <row r="239" spans="2:21">
      <c r="B239" s="925"/>
      <c r="C239" s="791"/>
      <c r="D239" s="791"/>
      <c r="E239" s="791"/>
      <c r="F239" s="791"/>
      <c r="G239" s="791"/>
      <c r="H239" s="791"/>
      <c r="I239" s="791"/>
      <c r="J239" s="926"/>
      <c r="K239" s="926"/>
      <c r="L239" s="926"/>
      <c r="M239" s="2202"/>
      <c r="N239" s="2202"/>
      <c r="O239" s="655"/>
      <c r="P239" s="655"/>
      <c r="Q239" s="655"/>
      <c r="R239" s="655"/>
      <c r="S239" s="655"/>
      <c r="T239" s="655"/>
      <c r="U239" s="655"/>
    </row>
    <row r="240" spans="2:21">
      <c r="B240" s="788"/>
      <c r="C240" s="791"/>
      <c r="D240" s="791"/>
      <c r="E240" s="791"/>
      <c r="F240" s="791"/>
      <c r="G240" s="791"/>
      <c r="H240" s="791"/>
      <c r="I240" s="791"/>
      <c r="J240" s="786"/>
      <c r="K240" s="655"/>
      <c r="L240" s="786"/>
      <c r="M240" s="2202"/>
      <c r="N240" s="2202"/>
      <c r="O240" s="655"/>
      <c r="P240" s="655"/>
      <c r="Q240" s="655"/>
      <c r="R240" s="655"/>
      <c r="S240" s="655"/>
      <c r="T240" s="655"/>
      <c r="U240" s="655"/>
    </row>
    <row r="241" spans="2:21">
      <c r="B241" s="788"/>
      <c r="C241" s="789"/>
      <c r="D241" s="780"/>
      <c r="E241" s="780"/>
      <c r="F241" s="863" t="str">
        <f>F196</f>
        <v xml:space="preserve">AEP West SPP Member Operating Companies </v>
      </c>
      <c r="G241" s="781"/>
      <c r="H241" s="786"/>
      <c r="I241" s="786"/>
      <c r="J241" s="786"/>
      <c r="K241" s="655"/>
      <c r="L241" s="786"/>
      <c r="M241" s="2202"/>
      <c r="N241" s="2202"/>
      <c r="O241" s="655"/>
      <c r="P241" s="655"/>
      <c r="Q241" s="655"/>
      <c r="R241" s="655"/>
      <c r="S241" s="655"/>
      <c r="T241" s="655"/>
      <c r="U241" s="655"/>
    </row>
    <row r="242" spans="2:21">
      <c r="B242" s="788"/>
      <c r="C242" s="789"/>
      <c r="D242" s="927"/>
      <c r="E242" s="789"/>
      <c r="F242" s="863" t="str">
        <f>F197</f>
        <v>Transmission Cost of Service Formula Rate</v>
      </c>
      <c r="G242" s="786"/>
      <c r="H242" s="786"/>
      <c r="I242" s="786"/>
      <c r="J242" s="786"/>
      <c r="K242" s="655"/>
      <c r="L242" s="657"/>
      <c r="M242" s="2202"/>
      <c r="N242" s="2202"/>
      <c r="O242" s="655"/>
      <c r="P242" s="655"/>
      <c r="Q242" s="655"/>
      <c r="R242" s="655"/>
      <c r="S242" s="655"/>
      <c r="T242" s="655"/>
      <c r="U242" s="655"/>
    </row>
    <row r="243" spans="2:21">
      <c r="B243" s="788"/>
      <c r="C243" s="789"/>
      <c r="D243" s="927"/>
      <c r="E243" s="864"/>
      <c r="F243" s="863" t="str">
        <f>F198</f>
        <v>Utilizing Actual / Projected Cost Data for the 2018 Rate Year</v>
      </c>
      <c r="G243" s="786"/>
      <c r="H243" s="786"/>
      <c r="I243" s="786"/>
      <c r="J243" s="786"/>
      <c r="K243" s="655"/>
      <c r="L243" s="657"/>
      <c r="M243" s="2202"/>
      <c r="N243" s="2202"/>
      <c r="O243" s="655"/>
      <c r="P243" s="655"/>
      <c r="Q243" s="655"/>
      <c r="R243" s="655"/>
      <c r="S243" s="655"/>
      <c r="T243" s="655"/>
      <c r="U243" s="655"/>
    </row>
    <row r="244" spans="2:21">
      <c r="B244" s="788"/>
      <c r="C244" s="789"/>
      <c r="D244" s="927"/>
      <c r="E244" s="864"/>
      <c r="F244" s="863"/>
      <c r="G244" s="786"/>
      <c r="H244" s="786"/>
      <c r="I244" s="786"/>
      <c r="J244" s="786"/>
      <c r="K244" s="655"/>
      <c r="L244" s="657"/>
      <c r="M244" s="2202"/>
      <c r="N244" s="2202"/>
      <c r="O244" s="655"/>
      <c r="P244" s="655"/>
      <c r="Q244" s="655"/>
      <c r="R244" s="655"/>
      <c r="S244" s="655"/>
      <c r="T244" s="655"/>
      <c r="U244" s="655"/>
    </row>
    <row r="245" spans="2:21">
      <c r="B245" s="788"/>
      <c r="C245" s="789"/>
      <c r="D245" s="927"/>
      <c r="E245" s="864"/>
      <c r="F245" s="863" t="str">
        <f>F200</f>
        <v>PUBLIC SERVICE COMPANY OF OKLAHOMA</v>
      </c>
      <c r="G245" s="786"/>
      <c r="H245" s="786"/>
      <c r="I245" s="786"/>
      <c r="J245" s="786"/>
      <c r="K245" s="655"/>
      <c r="L245" s="657"/>
      <c r="M245" s="2202"/>
      <c r="N245" s="2202"/>
      <c r="O245" s="655"/>
      <c r="P245" s="655"/>
      <c r="Q245" s="655"/>
      <c r="R245" s="655"/>
      <c r="S245" s="655"/>
      <c r="T245" s="655"/>
      <c r="U245" s="655"/>
    </row>
    <row r="246" spans="2:21">
      <c r="B246" s="788"/>
      <c r="C246" s="789"/>
      <c r="D246" s="927"/>
      <c r="E246" s="864"/>
      <c r="F246" s="863"/>
      <c r="G246" s="786"/>
      <c r="H246" s="786"/>
      <c r="I246" s="786"/>
      <c r="J246" s="786"/>
      <c r="K246" s="655"/>
      <c r="L246" s="657"/>
      <c r="M246" s="2202"/>
      <c r="N246" s="2202"/>
      <c r="O246" s="655"/>
      <c r="P246" s="655"/>
      <c r="Q246" s="655"/>
      <c r="R246" s="655"/>
      <c r="S246" s="655"/>
      <c r="T246" s="655"/>
      <c r="U246" s="655"/>
    </row>
    <row r="247" spans="2:21">
      <c r="B247" s="928" t="s">
        <v>317</v>
      </c>
      <c r="C247" s="796"/>
      <c r="D247" s="783"/>
      <c r="E247" s="655"/>
      <c r="F247" s="928" t="s">
        <v>316</v>
      </c>
      <c r="G247" s="786"/>
      <c r="H247" s="786"/>
      <c r="I247" s="786"/>
      <c r="J247" s="786"/>
      <c r="K247" s="655"/>
      <c r="L247" s="786"/>
      <c r="M247" s="2202"/>
      <c r="N247" s="2202"/>
      <c r="O247" s="655"/>
      <c r="P247" s="655"/>
      <c r="Q247" s="655"/>
      <c r="R247" s="655"/>
      <c r="S247" s="655"/>
      <c r="T247" s="655"/>
      <c r="U247" s="655"/>
    </row>
    <row r="248" spans="2:21">
      <c r="C248" s="796"/>
      <c r="D248" s="662" t="s">
        <v>912</v>
      </c>
      <c r="L248" s="657"/>
      <c r="M248" s="2202"/>
      <c r="N248" s="2202"/>
      <c r="O248" s="655"/>
      <c r="P248" s="655"/>
      <c r="Q248" s="655"/>
      <c r="R248" s="655"/>
      <c r="S248" s="655"/>
      <c r="T248" s="655"/>
      <c r="U248" s="655"/>
    </row>
    <row r="249" spans="2:21">
      <c r="B249" s="662"/>
      <c r="D249" s="783"/>
      <c r="E249" s="655"/>
      <c r="F249" s="655"/>
      <c r="G249" s="786"/>
      <c r="H249" s="786"/>
      <c r="I249" s="786"/>
      <c r="J249" s="860"/>
      <c r="K249" s="791"/>
      <c r="L249" s="791"/>
      <c r="M249" s="2202"/>
      <c r="N249" s="2202"/>
      <c r="O249" s="655"/>
      <c r="P249" s="655"/>
      <c r="Q249" s="655"/>
      <c r="R249" s="655"/>
      <c r="S249" s="655"/>
      <c r="T249" s="655"/>
      <c r="U249" s="655"/>
    </row>
    <row r="250" spans="2:21">
      <c r="B250" s="866" t="s">
        <v>289</v>
      </c>
      <c r="C250" s="796"/>
      <c r="D250" s="783" t="s">
        <v>90</v>
      </c>
      <c r="E250" s="655"/>
      <c r="F250" s="655"/>
      <c r="G250" s="786"/>
      <c r="H250" s="786"/>
      <c r="I250" s="786"/>
      <c r="J250" s="860"/>
      <c r="K250" s="791"/>
      <c r="L250" s="791"/>
      <c r="M250" s="2202"/>
      <c r="N250" s="2202"/>
      <c r="O250" s="655"/>
      <c r="P250" s="655"/>
      <c r="Q250" s="655"/>
      <c r="R250" s="655"/>
      <c r="S250" s="655"/>
      <c r="T250" s="655"/>
      <c r="U250" s="655"/>
    </row>
    <row r="251" spans="2:21">
      <c r="B251" s="866"/>
      <c r="C251" s="863"/>
      <c r="D251" s="783" t="s">
        <v>91</v>
      </c>
      <c r="E251" s="655"/>
      <c r="F251" s="655"/>
      <c r="G251" s="655"/>
      <c r="H251" s="655"/>
      <c r="I251" s="655"/>
      <c r="J251" s="929"/>
      <c r="K251" s="791"/>
      <c r="L251" s="791"/>
      <c r="M251" s="2202"/>
      <c r="N251" s="2202"/>
      <c r="O251" s="655"/>
      <c r="P251" s="655"/>
      <c r="Q251" s="655"/>
      <c r="R251" s="655"/>
      <c r="S251" s="655"/>
      <c r="T251" s="655"/>
      <c r="U251" s="655"/>
    </row>
    <row r="252" spans="2:21">
      <c r="D252" s="783" t="s">
        <v>93</v>
      </c>
      <c r="E252" s="818"/>
      <c r="F252" s="818"/>
      <c r="G252" s="655"/>
      <c r="H252" s="655"/>
      <c r="I252" s="655"/>
      <c r="J252" s="929"/>
      <c r="K252" s="791"/>
      <c r="L252" s="791"/>
      <c r="M252" s="2202"/>
      <c r="N252" s="2202"/>
      <c r="O252" s="655"/>
      <c r="P252" s="655"/>
      <c r="Q252" s="655"/>
      <c r="R252" s="655"/>
      <c r="S252" s="655"/>
      <c r="T252" s="655"/>
      <c r="U252" s="655"/>
    </row>
    <row r="253" spans="2:21">
      <c r="D253" s="783" t="s">
        <v>94</v>
      </c>
      <c r="E253" s="655"/>
      <c r="F253" s="655"/>
      <c r="G253" s="655"/>
      <c r="H253" s="655"/>
      <c r="I253" s="655"/>
      <c r="J253" s="929"/>
      <c r="K253" s="791"/>
      <c r="L253" s="791"/>
      <c r="M253" s="2202"/>
      <c r="N253" s="2202"/>
      <c r="O253" s="655"/>
      <c r="P253" s="655"/>
      <c r="Q253" s="655"/>
      <c r="R253" s="655"/>
      <c r="S253" s="655"/>
      <c r="T253" s="655"/>
      <c r="U253" s="655"/>
    </row>
    <row r="254" spans="2:21">
      <c r="B254" s="788"/>
      <c r="C254" s="789"/>
      <c r="D254" s="783" t="s">
        <v>1334</v>
      </c>
      <c r="E254" s="655"/>
      <c r="F254" s="655"/>
      <c r="G254" s="655"/>
      <c r="H254" s="655"/>
      <c r="I254" s="655"/>
      <c r="J254" s="929"/>
      <c r="K254" s="791"/>
      <c r="L254" s="791"/>
      <c r="M254" s="2202"/>
      <c r="N254" s="2202"/>
      <c r="O254" s="655"/>
      <c r="P254" s="655"/>
      <c r="Q254" s="655"/>
      <c r="R254" s="655"/>
      <c r="S254" s="655"/>
      <c r="T254" s="655"/>
      <c r="U254" s="655"/>
    </row>
    <row r="255" spans="2:21" ht="15" customHeight="1">
      <c r="B255" s="788"/>
      <c r="C255" s="789"/>
      <c r="D255" s="783"/>
      <c r="E255" s="655"/>
      <c r="F255" s="655"/>
      <c r="G255" s="655"/>
      <c r="H255" s="655"/>
      <c r="I255" s="655"/>
      <c r="J255" s="929"/>
      <c r="K255" s="791"/>
      <c r="L255" s="791"/>
      <c r="M255" s="2202"/>
      <c r="N255" s="2202"/>
      <c r="O255" s="655"/>
      <c r="P255" s="655"/>
      <c r="Q255" s="655"/>
      <c r="R255" s="655"/>
      <c r="S255" s="655"/>
      <c r="T255" s="655"/>
      <c r="U255" s="655"/>
    </row>
    <row r="256" spans="2:21">
      <c r="B256" s="788" t="s">
        <v>290</v>
      </c>
      <c r="C256" s="789"/>
      <c r="D256" s="926" t="s">
        <v>95</v>
      </c>
      <c r="E256" s="655"/>
      <c r="F256" s="655"/>
      <c r="G256" s="655"/>
      <c r="H256" s="655"/>
      <c r="I256" s="655"/>
      <c r="J256" s="929"/>
      <c r="K256" s="791"/>
      <c r="L256" s="791"/>
      <c r="M256" s="2202"/>
      <c r="N256" s="2202"/>
      <c r="O256" s="655"/>
      <c r="P256" s="655"/>
      <c r="Q256" s="655"/>
      <c r="R256" s="655"/>
      <c r="S256" s="655"/>
      <c r="T256" s="655"/>
      <c r="U256" s="655"/>
    </row>
    <row r="257" spans="2:21">
      <c r="B257" s="788"/>
      <c r="C257" s="789"/>
      <c r="D257" s="926"/>
      <c r="E257" s="655"/>
      <c r="F257" s="655"/>
      <c r="G257" s="655"/>
      <c r="H257" s="655"/>
      <c r="I257" s="655"/>
      <c r="J257" s="929"/>
      <c r="K257" s="791"/>
      <c r="L257" s="791"/>
      <c r="M257" s="2202"/>
      <c r="N257" s="2202"/>
      <c r="O257" s="655"/>
      <c r="P257" s="655"/>
      <c r="Q257" s="655"/>
      <c r="R257" s="655"/>
      <c r="S257" s="655"/>
      <c r="T257" s="655"/>
      <c r="U257" s="655"/>
    </row>
    <row r="258" spans="2:21">
      <c r="B258" s="788" t="s">
        <v>291</v>
      </c>
      <c r="C258" s="789"/>
      <c r="D258" s="926" t="s">
        <v>205</v>
      </c>
      <c r="E258" s="655"/>
      <c r="F258" s="655"/>
      <c r="G258" s="655"/>
      <c r="H258" s="655"/>
      <c r="I258" s="655"/>
      <c r="J258" s="929"/>
      <c r="K258" s="791"/>
      <c r="L258" s="791"/>
      <c r="M258" s="2202"/>
      <c r="N258" s="2202"/>
      <c r="O258" s="655"/>
      <c r="P258" s="655"/>
      <c r="Q258" s="655"/>
      <c r="R258" s="655"/>
      <c r="S258" s="655"/>
      <c r="T258" s="655"/>
      <c r="U258" s="655"/>
    </row>
    <row r="259" spans="2:21">
      <c r="B259" s="788"/>
      <c r="C259" s="789"/>
      <c r="D259" s="926"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55"/>
      <c r="F259" s="655"/>
      <c r="G259" s="655"/>
      <c r="H259" s="655"/>
      <c r="I259" s="655"/>
      <c r="J259" s="929"/>
      <c r="K259" s="791"/>
      <c r="L259" s="791"/>
      <c r="M259" s="2202"/>
      <c r="N259" s="2202"/>
      <c r="O259" s="655"/>
      <c r="P259" s="655"/>
      <c r="Q259" s="655"/>
      <c r="R259" s="655"/>
      <c r="S259" s="655"/>
      <c r="T259" s="655"/>
      <c r="U259" s="655"/>
    </row>
    <row r="260" spans="2:21">
      <c r="B260" s="788"/>
      <c r="C260" s="789"/>
      <c r="D260" s="926" t="s">
        <v>206</v>
      </c>
      <c r="E260" s="655"/>
      <c r="F260" s="655"/>
      <c r="G260" s="655"/>
      <c r="H260" s="655"/>
      <c r="I260" s="655"/>
      <c r="J260" s="929"/>
      <c r="K260" s="791"/>
      <c r="L260" s="791"/>
      <c r="M260" s="2202"/>
      <c r="N260" s="2202"/>
      <c r="O260" s="655"/>
      <c r="P260" s="783"/>
      <c r="Q260" s="783"/>
      <c r="R260" s="655"/>
      <c r="S260" s="655"/>
      <c r="T260" s="655"/>
      <c r="U260" s="655"/>
    </row>
    <row r="261" spans="2:21">
      <c r="B261" s="788"/>
      <c r="C261" s="789"/>
      <c r="D261" s="926"/>
      <c r="E261" s="655"/>
      <c r="F261" s="655"/>
      <c r="G261" s="655"/>
      <c r="H261" s="655"/>
      <c r="I261" s="655"/>
      <c r="J261" s="929"/>
      <c r="K261" s="791"/>
      <c r="L261" s="791"/>
      <c r="M261" s="2202"/>
      <c r="N261" s="2202"/>
      <c r="O261" s="655"/>
      <c r="P261" s="783"/>
      <c r="Q261" s="783"/>
      <c r="R261" s="655"/>
      <c r="S261" s="655"/>
      <c r="T261" s="655"/>
      <c r="U261" s="655"/>
    </row>
    <row r="262" spans="2:21">
      <c r="B262" s="788" t="s">
        <v>292</v>
      </c>
      <c r="C262" s="789"/>
      <c r="D262" s="2438" t="s">
        <v>1335</v>
      </c>
      <c r="E262" s="2437"/>
      <c r="F262" s="2437"/>
      <c r="G262" s="2437"/>
      <c r="H262" s="2437"/>
      <c r="I262" s="2437"/>
      <c r="J262" s="2437"/>
      <c r="K262" s="791"/>
      <c r="L262" s="791"/>
      <c r="M262" s="2202"/>
      <c r="N262" s="2202"/>
      <c r="O262" s="655"/>
      <c r="P262" s="783"/>
      <c r="Q262" s="783"/>
      <c r="R262" s="655"/>
      <c r="S262" s="655"/>
      <c r="T262" s="655"/>
      <c r="U262" s="655"/>
    </row>
    <row r="263" spans="2:21">
      <c r="B263" s="788"/>
      <c r="C263" s="789"/>
      <c r="D263" s="2437"/>
      <c r="E263" s="2437"/>
      <c r="F263" s="2437"/>
      <c r="G263" s="2437"/>
      <c r="H263" s="2437"/>
      <c r="I263" s="2437"/>
      <c r="J263" s="2437"/>
      <c r="K263" s="791"/>
      <c r="L263" s="791"/>
      <c r="M263" s="2202"/>
      <c r="N263" s="2202"/>
      <c r="O263" s="655"/>
      <c r="P263" s="783"/>
      <c r="Q263" s="655"/>
      <c r="R263" s="655"/>
      <c r="S263" s="655"/>
      <c r="T263" s="655"/>
      <c r="U263" s="655"/>
    </row>
    <row r="264" spans="2:21">
      <c r="B264" s="788"/>
      <c r="C264" s="789"/>
      <c r="E264" s="655"/>
      <c r="F264" s="655"/>
      <c r="G264" s="655"/>
      <c r="H264" s="655"/>
      <c r="I264" s="655"/>
      <c r="J264" s="929"/>
      <c r="K264" s="791"/>
      <c r="L264" s="791"/>
      <c r="M264" s="2202"/>
      <c r="N264" s="2202"/>
      <c r="O264" s="655"/>
      <c r="P264" s="655"/>
      <c r="Q264" s="655"/>
      <c r="R264" s="655"/>
      <c r="S264" s="655"/>
      <c r="T264" s="655"/>
      <c r="U264" s="655"/>
    </row>
    <row r="265" spans="2:21">
      <c r="B265" s="788" t="s">
        <v>293</v>
      </c>
      <c r="C265" s="789"/>
      <c r="D265" s="783" t="s">
        <v>203</v>
      </c>
      <c r="E265" s="655"/>
      <c r="F265" s="655"/>
      <c r="G265" s="655"/>
      <c r="H265" s="655"/>
      <c r="I265" s="655"/>
      <c r="J265" s="929"/>
      <c r="K265" s="791"/>
      <c r="L265" s="791"/>
      <c r="M265" s="2202"/>
      <c r="N265" s="2202"/>
      <c r="O265" s="655"/>
      <c r="P265" s="655"/>
      <c r="Q265" s="655"/>
      <c r="R265" s="655"/>
      <c r="S265" s="655"/>
      <c r="T265" s="655"/>
      <c r="U265" s="655"/>
    </row>
    <row r="266" spans="2:21">
      <c r="B266" s="788"/>
      <c r="C266" s="789"/>
      <c r="D266" s="783" t="s">
        <v>419</v>
      </c>
      <c r="E266" s="655"/>
      <c r="F266" s="655"/>
      <c r="G266" s="655"/>
      <c r="H266" s="655"/>
      <c r="I266" s="655"/>
      <c r="J266" s="929"/>
      <c r="K266" s="791"/>
      <c r="L266" s="791"/>
      <c r="M266" s="2202"/>
      <c r="N266" s="2202"/>
      <c r="O266" s="655"/>
      <c r="P266" s="655"/>
      <c r="Q266" s="655"/>
      <c r="R266" s="655"/>
      <c r="S266" s="655"/>
      <c r="T266" s="655"/>
      <c r="U266" s="655"/>
    </row>
    <row r="267" spans="2:21">
      <c r="C267" s="789"/>
      <c r="D267" s="783" t="s">
        <v>883</v>
      </c>
      <c r="E267" s="655"/>
      <c r="F267" s="655"/>
      <c r="G267" s="655"/>
      <c r="H267" s="655"/>
      <c r="I267" s="655"/>
      <c r="J267" s="929"/>
      <c r="K267" s="791"/>
      <c r="L267" s="791"/>
      <c r="M267" s="2202"/>
      <c r="N267" s="2202"/>
      <c r="O267" s="655"/>
      <c r="P267" s="655"/>
      <c r="Q267" s="655"/>
      <c r="R267" s="655"/>
      <c r="S267" s="655"/>
      <c r="T267" s="655"/>
      <c r="U267" s="655"/>
    </row>
    <row r="268" spans="2:21">
      <c r="B268" s="788"/>
      <c r="C268" s="789"/>
      <c r="D268" s="783" t="s">
        <v>204</v>
      </c>
      <c r="E268" s="655"/>
      <c r="F268" s="655"/>
      <c r="G268" s="655"/>
      <c r="H268" s="655"/>
      <c r="I268" s="655"/>
      <c r="J268" s="929"/>
      <c r="K268" s="791"/>
      <c r="L268" s="791"/>
      <c r="M268" s="2202"/>
      <c r="N268" s="2202"/>
      <c r="O268" s="655"/>
      <c r="P268" s="655"/>
      <c r="Q268" s="655"/>
      <c r="R268" s="655"/>
      <c r="S268" s="655"/>
      <c r="T268" s="655"/>
      <c r="U268" s="655"/>
    </row>
    <row r="269" spans="2:21">
      <c r="B269" s="788"/>
      <c r="C269" s="789"/>
      <c r="D269" s="783"/>
      <c r="E269" s="655"/>
      <c r="F269" s="655"/>
      <c r="G269" s="655"/>
      <c r="H269" s="655"/>
      <c r="I269" s="655"/>
      <c r="J269" s="929"/>
      <c r="K269" s="791"/>
      <c r="L269" s="791"/>
      <c r="M269" s="2202"/>
      <c r="N269" s="2202"/>
      <c r="O269" s="655"/>
      <c r="P269" s="655"/>
      <c r="Q269" s="655"/>
      <c r="R269" s="655"/>
      <c r="S269" s="655"/>
      <c r="T269" s="655"/>
      <c r="U269" s="655"/>
    </row>
    <row r="270" spans="2:21">
      <c r="B270" s="788" t="s">
        <v>294</v>
      </c>
      <c r="C270" s="789"/>
      <c r="D270" s="783" t="s">
        <v>138</v>
      </c>
      <c r="E270" s="655"/>
      <c r="F270" s="655"/>
      <c r="G270" s="655"/>
      <c r="H270" s="655"/>
      <c r="I270" s="655"/>
      <c r="J270" s="929"/>
      <c r="K270" s="791"/>
      <c r="L270" s="791"/>
      <c r="M270" s="2202"/>
      <c r="N270" s="2202"/>
      <c r="O270" s="655"/>
      <c r="P270" s="655"/>
      <c r="Q270" s="655"/>
      <c r="R270" s="655"/>
      <c r="S270" s="655"/>
      <c r="T270" s="655"/>
      <c r="U270" s="655"/>
    </row>
    <row r="271" spans="2:21">
      <c r="B271" s="788"/>
      <c r="C271" s="789"/>
      <c r="D271" s="783"/>
      <c r="E271" s="655"/>
      <c r="F271" s="655"/>
      <c r="G271" s="655"/>
      <c r="H271" s="655"/>
      <c r="I271" s="655"/>
      <c r="J271" s="929"/>
      <c r="K271" s="791"/>
      <c r="L271" s="791"/>
      <c r="M271" s="2202"/>
      <c r="N271" s="2202"/>
      <c r="O271" s="655"/>
      <c r="P271" s="655"/>
      <c r="Q271" s="655"/>
      <c r="R271" s="655"/>
      <c r="S271" s="655"/>
      <c r="T271" s="655"/>
      <c r="U271" s="655"/>
    </row>
    <row r="272" spans="2:21">
      <c r="B272" s="788" t="s">
        <v>295</v>
      </c>
      <c r="C272" s="789"/>
      <c r="D272" s="783" t="str">
        <f>"Cash Working Capital assigned to transmission is one-eighth of O&amp;M allocated to transmission on line "&amp;B134&amp;"."</f>
        <v>Cash Working Capital assigned to transmission is one-eighth of O&amp;M allocated to transmission on line 70.</v>
      </c>
      <c r="E272" s="655"/>
      <c r="F272" s="655"/>
      <c r="G272" s="655"/>
      <c r="H272" s="655"/>
      <c r="I272" s="655"/>
      <c r="J272" s="929"/>
      <c r="K272" s="791"/>
      <c r="L272" s="791"/>
      <c r="M272" s="2202"/>
      <c r="N272" s="2202"/>
      <c r="O272" s="655"/>
      <c r="P272" s="655"/>
      <c r="Q272" s="655"/>
      <c r="R272" s="655"/>
      <c r="S272" s="655"/>
      <c r="T272" s="655"/>
      <c r="U272" s="655"/>
    </row>
    <row r="273" spans="2:21">
      <c r="B273" s="788"/>
      <c r="C273" s="789"/>
      <c r="D273" s="783"/>
      <c r="E273" s="655"/>
      <c r="F273" s="655"/>
      <c r="G273" s="655"/>
      <c r="H273" s="655"/>
      <c r="I273" s="655"/>
      <c r="J273" s="929"/>
      <c r="K273" s="791"/>
      <c r="L273" s="791"/>
      <c r="M273" s="2202"/>
      <c r="N273" s="2202"/>
      <c r="O273" s="655"/>
      <c r="P273" s="655"/>
      <c r="Q273" s="655"/>
      <c r="R273" s="655"/>
      <c r="S273" s="655"/>
      <c r="T273" s="655"/>
      <c r="U273" s="655"/>
    </row>
    <row r="274" spans="2:21">
      <c r="B274" s="866" t="s">
        <v>296</v>
      </c>
      <c r="C274" s="863"/>
      <c r="D274" s="662"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860"/>
      <c r="K274" s="791"/>
      <c r="L274" s="791"/>
      <c r="M274" s="2202"/>
      <c r="N274" s="2202"/>
      <c r="O274" s="655"/>
      <c r="P274" s="655"/>
      <c r="Q274" s="655"/>
      <c r="R274" s="655"/>
      <c r="S274" s="655"/>
      <c r="T274" s="655"/>
      <c r="U274" s="655"/>
    </row>
    <row r="275" spans="2:21">
      <c r="D275" s="662" t="s">
        <v>357</v>
      </c>
      <c r="J275" s="860"/>
      <c r="K275" s="791"/>
      <c r="L275" s="791"/>
      <c r="M275" s="2202"/>
      <c r="N275" s="2202"/>
      <c r="O275" s="655"/>
      <c r="P275" s="655"/>
      <c r="Q275" s="655"/>
      <c r="R275" s="655"/>
      <c r="S275" s="655"/>
      <c r="T275" s="655"/>
      <c r="U275" s="655"/>
    </row>
    <row r="276" spans="2:21">
      <c r="D276" s="662" t="str">
        <f>"expense is included on line "&amp;B186&amp;"."</f>
        <v>expense is included on line 113.</v>
      </c>
      <c r="J276" s="860"/>
      <c r="K276" s="791"/>
      <c r="L276" s="791"/>
      <c r="M276" s="2202"/>
      <c r="N276" s="2202"/>
      <c r="O276" s="655"/>
      <c r="P276" s="655"/>
      <c r="Q276" s="655"/>
      <c r="R276" s="655"/>
      <c r="S276" s="655"/>
      <c r="T276" s="655"/>
      <c r="U276" s="655"/>
    </row>
    <row r="277" spans="2:21">
      <c r="J277" s="860"/>
      <c r="K277" s="791"/>
      <c r="L277" s="791"/>
      <c r="M277" s="2202"/>
      <c r="N277" s="2202"/>
      <c r="O277" s="655"/>
      <c r="P277" s="655"/>
      <c r="Q277" s="655"/>
      <c r="R277" s="655"/>
      <c r="S277" s="655"/>
      <c r="T277" s="655"/>
      <c r="U277" s="655"/>
    </row>
    <row r="278" spans="2:21" ht="20.25" customHeight="1">
      <c r="B278" s="866" t="s">
        <v>297</v>
      </c>
      <c r="D278" s="2425"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425"/>
      <c r="F278" s="2425"/>
      <c r="G278" s="2425"/>
      <c r="H278" s="2425"/>
      <c r="I278" s="2425"/>
      <c r="J278" s="2425"/>
      <c r="K278" s="791"/>
      <c r="L278" s="791"/>
      <c r="M278" s="2202"/>
      <c r="N278" s="2202"/>
      <c r="O278" s="655"/>
      <c r="P278" s="655"/>
      <c r="Q278" s="655"/>
      <c r="R278" s="655"/>
      <c r="S278" s="655"/>
      <c r="T278" s="655"/>
      <c r="U278" s="655"/>
    </row>
    <row r="279" spans="2:21">
      <c r="B279" s="866"/>
      <c r="D279" s="783"/>
      <c r="J279" s="860"/>
      <c r="K279" s="791"/>
      <c r="L279" s="791"/>
      <c r="M279" s="2202"/>
      <c r="N279" s="2202"/>
      <c r="O279" s="655"/>
      <c r="P279" s="655"/>
      <c r="Q279" s="655"/>
      <c r="R279" s="655"/>
      <c r="S279" s="655"/>
      <c r="T279" s="655"/>
      <c r="U279" s="655"/>
    </row>
    <row r="280" spans="2:21">
      <c r="B280" s="866" t="s">
        <v>298</v>
      </c>
      <c r="D280" s="662" t="s">
        <v>139</v>
      </c>
      <c r="J280" s="860"/>
      <c r="K280" s="791"/>
      <c r="L280" s="791"/>
      <c r="M280" s="2202"/>
      <c r="N280" s="2202"/>
      <c r="O280" s="655"/>
      <c r="P280" s="655"/>
      <c r="Q280" s="655"/>
      <c r="R280" s="655"/>
      <c r="S280" s="655"/>
      <c r="T280" s="655"/>
      <c r="U280" s="655"/>
    </row>
    <row r="281" spans="2:21">
      <c r="B281" s="866"/>
      <c r="J281" s="860"/>
      <c r="K281" s="791"/>
      <c r="L281" s="791"/>
      <c r="M281" s="2202"/>
      <c r="N281" s="2202"/>
      <c r="O281" s="655"/>
      <c r="P281" s="655"/>
      <c r="Q281" s="655"/>
      <c r="R281" s="655"/>
      <c r="S281" s="655"/>
      <c r="T281" s="655"/>
      <c r="U281" s="655"/>
    </row>
    <row r="282" spans="2:21">
      <c r="B282" s="788" t="s">
        <v>299</v>
      </c>
      <c r="D282" s="662" t="s">
        <v>1086</v>
      </c>
      <c r="J282" s="860"/>
      <c r="K282" s="791"/>
      <c r="L282" s="791"/>
      <c r="M282" s="2202"/>
      <c r="N282" s="2202"/>
      <c r="O282" s="655"/>
      <c r="P282" s="655"/>
      <c r="Q282" s="655"/>
      <c r="R282" s="655"/>
      <c r="S282" s="655"/>
      <c r="T282" s="655"/>
      <c r="U282" s="655"/>
    </row>
    <row r="283" spans="2:21">
      <c r="B283" s="866"/>
      <c r="J283" s="860"/>
      <c r="K283" s="791"/>
      <c r="L283" s="791"/>
      <c r="M283" s="2202"/>
      <c r="N283" s="2202"/>
      <c r="O283" s="655"/>
      <c r="P283" s="655"/>
      <c r="Q283" s="655"/>
      <c r="R283" s="655"/>
      <c r="S283" s="655"/>
      <c r="T283" s="655"/>
      <c r="U283" s="655"/>
    </row>
    <row r="284" spans="2:21">
      <c r="B284" s="788" t="s">
        <v>300</v>
      </c>
      <c r="C284" s="789"/>
      <c r="D284" s="783" t="s">
        <v>1336</v>
      </c>
      <c r="E284" s="655"/>
      <c r="F284" s="655"/>
      <c r="G284" s="655"/>
      <c r="H284" s="655"/>
      <c r="I284" s="655"/>
      <c r="J284" s="929"/>
      <c r="K284" s="791"/>
      <c r="L284" s="791"/>
      <c r="M284" s="2202"/>
      <c r="N284" s="2202"/>
      <c r="O284" s="655"/>
      <c r="P284" s="655"/>
      <c r="Q284" s="655"/>
      <c r="R284" s="655"/>
      <c r="S284" s="655"/>
      <c r="T284" s="655"/>
      <c r="U284" s="655"/>
    </row>
    <row r="285" spans="2:21">
      <c r="B285" s="788"/>
      <c r="C285" s="789"/>
      <c r="D285" s="783" t="s">
        <v>140</v>
      </c>
      <c r="E285" s="655"/>
      <c r="F285" s="655"/>
      <c r="G285" s="655"/>
      <c r="H285" s="655"/>
      <c r="I285" s="655"/>
      <c r="J285" s="929"/>
      <c r="K285" s="791"/>
      <c r="L285" s="791"/>
      <c r="M285" s="2202"/>
      <c r="N285" s="2202"/>
      <c r="O285" s="655"/>
      <c r="P285" s="655"/>
      <c r="Q285" s="655"/>
      <c r="R285" s="655"/>
      <c r="S285" s="655"/>
      <c r="T285" s="655"/>
      <c r="U285" s="655"/>
    </row>
    <row r="286" spans="2:21">
      <c r="B286" s="788"/>
      <c r="C286" s="789"/>
      <c r="D286" s="783" t="s">
        <v>141</v>
      </c>
      <c r="E286" s="655"/>
      <c r="F286" s="655"/>
      <c r="G286" s="655"/>
      <c r="H286" s="655"/>
      <c r="I286" s="655"/>
      <c r="J286" s="929"/>
      <c r="K286" s="791"/>
      <c r="L286" s="791"/>
      <c r="M286" s="2202"/>
      <c r="N286" s="2202"/>
      <c r="O286" s="655"/>
      <c r="P286" s="655"/>
      <c r="Q286" s="655"/>
      <c r="R286" s="655"/>
      <c r="S286" s="655"/>
      <c r="T286" s="655"/>
      <c r="U286" s="655"/>
    </row>
    <row r="287" spans="2:21">
      <c r="B287" s="788"/>
      <c r="C287" s="789"/>
      <c r="D287" s="662" t="s">
        <v>1337</v>
      </c>
      <c r="E287" s="655"/>
      <c r="F287" s="655"/>
      <c r="G287" s="655"/>
      <c r="H287" s="655"/>
      <c r="I287" s="655"/>
      <c r="J287" s="929"/>
      <c r="K287" s="791"/>
      <c r="L287" s="791"/>
      <c r="M287" s="2202"/>
      <c r="N287" s="2202"/>
      <c r="O287" s="655"/>
      <c r="P287" s="655"/>
      <c r="Q287" s="655"/>
      <c r="R287" s="655"/>
      <c r="S287" s="655"/>
      <c r="T287" s="655"/>
      <c r="U287" s="655"/>
    </row>
    <row r="288" spans="2:21">
      <c r="B288" s="788"/>
      <c r="C288" s="789"/>
      <c r="E288" s="655"/>
      <c r="F288" s="655"/>
      <c r="G288" s="655"/>
      <c r="H288" s="655"/>
      <c r="I288" s="655"/>
      <c r="J288" s="929"/>
      <c r="K288" s="791"/>
      <c r="L288" s="791"/>
      <c r="M288" s="2202"/>
      <c r="N288" s="2202"/>
      <c r="O288" s="655"/>
      <c r="P288" s="655"/>
      <c r="Q288" s="655"/>
      <c r="R288" s="655"/>
      <c r="S288" s="655"/>
      <c r="T288" s="655"/>
      <c r="U288" s="655"/>
    </row>
    <row r="289" spans="2:21" ht="62.25" customHeight="1">
      <c r="B289" s="930" t="s">
        <v>301</v>
      </c>
      <c r="C289" s="789"/>
      <c r="D289" s="2433" t="s">
        <v>1081</v>
      </c>
      <c r="E289" s="2433"/>
      <c r="F289" s="2433"/>
      <c r="G289" s="2433"/>
      <c r="H289" s="2433"/>
      <c r="I289" s="2433"/>
      <c r="J289" s="2433"/>
      <c r="K289" s="791"/>
      <c r="L289" s="791"/>
      <c r="M289" s="2202"/>
      <c r="N289" s="2202"/>
      <c r="O289" s="655"/>
      <c r="P289" s="655"/>
      <c r="Q289" s="655"/>
      <c r="R289" s="655"/>
      <c r="S289" s="655"/>
      <c r="T289" s="655"/>
      <c r="U289" s="655"/>
    </row>
    <row r="290" spans="2:21">
      <c r="B290" s="863"/>
      <c r="C290" s="789"/>
      <c r="E290" s="655"/>
      <c r="F290" s="655"/>
      <c r="G290" s="655"/>
      <c r="H290" s="655"/>
      <c r="I290" s="655"/>
      <c r="J290" s="929"/>
      <c r="K290" s="791"/>
      <c r="L290" s="791"/>
      <c r="M290" s="2202"/>
      <c r="N290" s="2202"/>
      <c r="O290" s="655"/>
      <c r="P290" s="655"/>
      <c r="Q290" s="655"/>
      <c r="R290" s="655"/>
      <c r="S290" s="655"/>
      <c r="T290" s="655"/>
      <c r="U290" s="655"/>
    </row>
    <row r="291" spans="2:21" ht="30.75" customHeight="1">
      <c r="B291" s="930" t="s">
        <v>369</v>
      </c>
      <c r="C291" s="789"/>
      <c r="D291" s="2435" t="s">
        <v>884</v>
      </c>
      <c r="E291" s="2435"/>
      <c r="F291" s="2435"/>
      <c r="G291" s="2435"/>
      <c r="H291" s="2435"/>
      <c r="I291" s="2435"/>
      <c r="J291" s="2435"/>
      <c r="K291" s="791"/>
      <c r="L291" s="791"/>
      <c r="M291" s="2202"/>
      <c r="N291" s="2202"/>
      <c r="O291" s="655"/>
      <c r="P291" s="655"/>
      <c r="Q291" s="655"/>
      <c r="R291" s="655"/>
      <c r="S291" s="655"/>
      <c r="T291" s="655"/>
      <c r="U291" s="655"/>
    </row>
    <row r="292" spans="2:21">
      <c r="C292" s="789"/>
      <c r="D292" s="931"/>
      <c r="E292" s="931"/>
      <c r="F292" s="931"/>
      <c r="G292" s="931"/>
      <c r="H292" s="931"/>
      <c r="I292" s="931"/>
      <c r="J292" s="931"/>
      <c r="K292" s="791"/>
      <c r="L292" s="791"/>
      <c r="M292" s="2202"/>
      <c r="N292" s="2202"/>
      <c r="O292" s="655"/>
      <c r="P292" s="655"/>
      <c r="Q292" s="655"/>
      <c r="R292" s="655"/>
      <c r="S292" s="655"/>
      <c r="T292" s="655"/>
      <c r="U292" s="655"/>
    </row>
    <row r="293" spans="2:21">
      <c r="B293" s="788" t="s">
        <v>390</v>
      </c>
      <c r="C293" s="789"/>
      <c r="D293" s="783" t="s">
        <v>411</v>
      </c>
      <c r="E293" s="655"/>
      <c r="F293" s="655"/>
      <c r="G293" s="655"/>
      <c r="H293" s="655"/>
      <c r="I293" s="655"/>
      <c r="J293" s="929"/>
      <c r="K293" s="791"/>
      <c r="L293" s="791"/>
      <c r="M293" s="2202"/>
      <c r="N293" s="2202"/>
      <c r="O293" s="655"/>
      <c r="P293" s="655"/>
      <c r="Q293" s="655"/>
      <c r="R293" s="655"/>
      <c r="S293" s="655"/>
      <c r="T293" s="655"/>
      <c r="U293" s="655"/>
    </row>
    <row r="294" spans="2:21">
      <c r="B294" s="788"/>
      <c r="C294" s="789"/>
      <c r="D294" s="783" t="s">
        <v>2</v>
      </c>
      <c r="E294" s="655"/>
      <c r="F294" s="655"/>
      <c r="G294" s="655"/>
      <c r="H294" s="655"/>
      <c r="I294" s="655"/>
      <c r="J294" s="929"/>
      <c r="K294" s="791"/>
      <c r="L294" s="791"/>
      <c r="M294" s="2202"/>
      <c r="N294" s="2202"/>
      <c r="O294" s="655"/>
      <c r="P294" s="655"/>
      <c r="Q294" s="655"/>
      <c r="R294" s="655"/>
      <c r="S294" s="655"/>
      <c r="T294" s="655"/>
      <c r="U294" s="655"/>
    </row>
    <row r="295" spans="2:21">
      <c r="B295" s="788"/>
      <c r="C295" s="789"/>
      <c r="D295" s="783" t="s">
        <v>3</v>
      </c>
      <c r="E295" s="655"/>
      <c r="F295" s="655"/>
      <c r="G295" s="655"/>
      <c r="H295" s="655"/>
      <c r="I295" s="655"/>
      <c r="J295" s="929"/>
      <c r="K295" s="791"/>
      <c r="L295" s="791"/>
      <c r="M295" s="2202"/>
      <c r="N295" s="2202"/>
      <c r="O295" s="655"/>
      <c r="P295" s="655"/>
      <c r="Q295" s="655"/>
      <c r="R295" s="655"/>
      <c r="S295" s="655"/>
      <c r="T295" s="655"/>
      <c r="U295" s="655"/>
    </row>
    <row r="296" spans="2:21">
      <c r="B296" s="788"/>
      <c r="C296" s="789"/>
      <c r="D296" s="783" t="s">
        <v>4</v>
      </c>
      <c r="E296" s="655"/>
      <c r="F296" s="655"/>
      <c r="G296" s="655"/>
      <c r="H296" s="655"/>
      <c r="I296" s="655"/>
      <c r="J296" s="929"/>
      <c r="K296" s="791"/>
      <c r="L296" s="791"/>
      <c r="M296" s="2202"/>
      <c r="N296" s="2202"/>
      <c r="O296" s="655"/>
      <c r="P296" s="655"/>
      <c r="Q296" s="655"/>
      <c r="R296" s="655"/>
      <c r="S296" s="655"/>
      <c r="T296" s="655"/>
      <c r="U296" s="655"/>
    </row>
    <row r="297" spans="2:21">
      <c r="B297" s="788"/>
      <c r="C297" s="789"/>
      <c r="D297" s="783" t="s">
        <v>5</v>
      </c>
      <c r="E297" s="655"/>
      <c r="F297" s="655"/>
      <c r="G297" s="655"/>
      <c r="H297" s="655"/>
      <c r="I297" s="655"/>
      <c r="J297" s="929"/>
      <c r="K297" s="791"/>
      <c r="L297" s="791"/>
      <c r="M297" s="2202"/>
      <c r="N297" s="2202"/>
      <c r="O297" s="655"/>
      <c r="P297" s="655"/>
      <c r="Q297" s="655"/>
      <c r="R297" s="655"/>
      <c r="S297" s="655"/>
      <c r="T297" s="655"/>
      <c r="U297" s="655"/>
    </row>
    <row r="298" spans="2:21">
      <c r="B298" s="788"/>
      <c r="C298" s="789"/>
      <c r="D298" s="783" t="str">
        <f>"(ln "&amp;B168&amp;") multiplied by (1/1-T) .  If the applicable tax rates are zero enter 0."</f>
        <v>(ln 99) multiplied by (1/1-T) .  If the applicable tax rates are zero enter 0.</v>
      </c>
      <c r="E298" s="655"/>
      <c r="F298" s="655"/>
      <c r="G298" s="655"/>
      <c r="H298" s="655"/>
      <c r="I298" s="655"/>
      <c r="J298" s="929"/>
      <c r="K298" s="791"/>
      <c r="L298" s="791"/>
      <c r="M298" s="2202"/>
      <c r="N298" s="2202"/>
      <c r="O298" s="655"/>
      <c r="P298" s="655"/>
      <c r="Q298" s="655"/>
      <c r="R298" s="655"/>
      <c r="S298" s="655"/>
      <c r="T298" s="655"/>
      <c r="U298" s="655"/>
    </row>
    <row r="299" spans="2:21">
      <c r="B299" s="788" t="s">
        <v>256</v>
      </c>
      <c r="C299" s="789"/>
      <c r="D299" s="783" t="s">
        <v>6</v>
      </c>
      <c r="E299" s="655" t="s">
        <v>7</v>
      </c>
      <c r="F299" s="920">
        <v>0.21</v>
      </c>
      <c r="G299" s="655"/>
      <c r="I299" s="655"/>
      <c r="J299" s="929"/>
      <c r="K299" s="791"/>
      <c r="L299" s="791"/>
      <c r="M299" s="2202"/>
      <c r="N299" s="2202"/>
      <c r="O299" s="655"/>
      <c r="P299" s="655"/>
      <c r="Q299" s="655"/>
      <c r="R299" s="655"/>
      <c r="S299" s="655"/>
      <c r="T299" s="655"/>
      <c r="U299" s="655"/>
    </row>
    <row r="300" spans="2:21">
      <c r="B300" s="788"/>
      <c r="C300" s="789"/>
      <c r="D300" s="783"/>
      <c r="E300" s="655" t="s">
        <v>8</v>
      </c>
      <c r="F300" s="818">
        <f>+'PSO WS K State Taxes'!F29</f>
        <v>5.4899999999999997E-2</v>
      </c>
      <c r="G300" s="655" t="s">
        <v>117</v>
      </c>
      <c r="I300" s="655"/>
      <c r="J300" s="929"/>
      <c r="K300" s="791"/>
      <c r="L300" s="791"/>
      <c r="M300" s="2202"/>
      <c r="N300" s="2202"/>
      <c r="O300" s="655"/>
      <c r="P300" s="655"/>
      <c r="Q300" s="655"/>
      <c r="R300" s="655"/>
      <c r="S300" s="655"/>
      <c r="T300" s="655"/>
      <c r="U300" s="655"/>
    </row>
    <row r="301" spans="2:21">
      <c r="B301" s="788"/>
      <c r="C301" s="789"/>
      <c r="D301" s="783"/>
      <c r="E301" s="655" t="s">
        <v>9</v>
      </c>
      <c r="F301" s="920">
        <v>0</v>
      </c>
      <c r="G301" s="655" t="s">
        <v>10</v>
      </c>
      <c r="I301" s="655"/>
      <c r="J301" s="929"/>
      <c r="K301" s="791"/>
      <c r="L301" s="791"/>
      <c r="M301" s="2202"/>
      <c r="N301" s="2202"/>
      <c r="O301" s="655"/>
      <c r="P301" s="655"/>
      <c r="Q301" s="655"/>
      <c r="R301" s="655"/>
      <c r="S301" s="655"/>
      <c r="T301" s="655"/>
      <c r="U301" s="655"/>
    </row>
    <row r="302" spans="2:21" ht="39.75" customHeight="1">
      <c r="B302" s="788"/>
      <c r="C302" s="789"/>
      <c r="D302" s="2434" t="s">
        <v>1347</v>
      </c>
      <c r="E302" s="2434"/>
      <c r="F302" s="2434"/>
      <c r="G302" s="2434"/>
      <c r="H302" s="2434"/>
      <c r="I302" s="2434"/>
      <c r="J302" s="2434"/>
      <c r="K302" s="932"/>
      <c r="L302" s="932"/>
      <c r="M302" s="2202"/>
      <c r="N302" s="2202"/>
      <c r="O302" s="655"/>
      <c r="P302" s="655"/>
      <c r="Q302" s="655"/>
      <c r="R302" s="655"/>
      <c r="S302" s="655"/>
      <c r="T302" s="655"/>
      <c r="U302" s="655"/>
    </row>
    <row r="303" spans="2:21">
      <c r="B303" s="788"/>
      <c r="C303" s="789"/>
      <c r="D303" s="783"/>
      <c r="E303" s="655"/>
      <c r="F303" s="818"/>
      <c r="G303" s="655"/>
      <c r="I303" s="655"/>
      <c r="J303" s="929"/>
      <c r="K303" s="791"/>
      <c r="L303" s="791"/>
      <c r="M303" s="2202"/>
      <c r="N303" s="2202"/>
      <c r="O303" s="655"/>
      <c r="P303" s="655"/>
      <c r="Q303" s="655"/>
      <c r="R303" s="655"/>
      <c r="S303" s="655"/>
      <c r="T303" s="655"/>
      <c r="U303" s="655"/>
    </row>
    <row r="304" spans="2:21">
      <c r="B304" s="788"/>
      <c r="C304" s="789"/>
      <c r="D304" s="783"/>
      <c r="E304" s="655"/>
      <c r="F304" s="818"/>
      <c r="G304" s="655"/>
      <c r="I304" s="655"/>
      <c r="J304" s="929"/>
      <c r="K304" s="791"/>
      <c r="L304" s="791"/>
      <c r="M304" s="2202"/>
      <c r="N304" s="2202"/>
      <c r="O304" s="655"/>
      <c r="P304" s="655"/>
      <c r="Q304" s="655"/>
      <c r="R304" s="655"/>
      <c r="S304" s="655"/>
      <c r="T304" s="655"/>
      <c r="U304" s="655"/>
    </row>
    <row r="305" spans="2:21">
      <c r="B305" s="788" t="s">
        <v>11</v>
      </c>
      <c r="C305" s="789"/>
      <c r="D305" s="783" t="s">
        <v>1082</v>
      </c>
      <c r="E305" s="655"/>
      <c r="F305" s="655"/>
      <c r="G305" s="818"/>
      <c r="H305" s="655"/>
      <c r="I305" s="655"/>
      <c r="J305" s="929"/>
      <c r="K305" s="791"/>
      <c r="L305" s="791"/>
      <c r="M305" s="2202"/>
      <c r="N305" s="2202"/>
      <c r="O305" s="655"/>
      <c r="P305" s="655"/>
      <c r="Q305" s="655"/>
      <c r="R305" s="655"/>
      <c r="S305" s="655"/>
      <c r="T305" s="655"/>
      <c r="U305" s="655"/>
    </row>
    <row r="306" spans="2:21">
      <c r="B306" s="788"/>
      <c r="C306" s="789"/>
      <c r="D306" s="783" t="s">
        <v>0</v>
      </c>
      <c r="E306" s="655"/>
      <c r="F306" s="655"/>
      <c r="G306" s="818"/>
      <c r="H306" s="655"/>
      <c r="I306" s="655"/>
      <c r="J306" s="929"/>
      <c r="K306" s="791"/>
      <c r="L306" s="791"/>
      <c r="M306" s="2202"/>
      <c r="N306" s="2202"/>
      <c r="O306" s="655"/>
      <c r="P306" s="655"/>
      <c r="Q306" s="655"/>
      <c r="R306" s="655"/>
      <c r="S306" s="655"/>
      <c r="T306" s="655"/>
      <c r="U306" s="655"/>
    </row>
    <row r="307" spans="2:21">
      <c r="B307" s="788"/>
      <c r="C307" s="789"/>
      <c r="D307" s="783"/>
      <c r="E307" s="655"/>
      <c r="F307" s="655"/>
      <c r="G307" s="818"/>
      <c r="H307" s="655"/>
      <c r="I307" s="655"/>
      <c r="J307" s="929"/>
      <c r="K307" s="791"/>
      <c r="L307" s="791"/>
      <c r="M307" s="2202"/>
      <c r="N307" s="2202"/>
      <c r="O307" s="655"/>
      <c r="P307" s="655"/>
      <c r="Q307" s="655"/>
      <c r="R307" s="655"/>
      <c r="S307" s="655"/>
      <c r="T307" s="655"/>
      <c r="U307" s="655"/>
    </row>
    <row r="308" spans="2:21" ht="18.75" customHeight="1">
      <c r="B308" s="933" t="s">
        <v>12</v>
      </c>
      <c r="C308" s="934"/>
      <c r="D308" s="2433" t="s">
        <v>1366</v>
      </c>
      <c r="E308" s="2433"/>
      <c r="F308" s="2433"/>
      <c r="G308" s="2433"/>
      <c r="H308" s="2433"/>
      <c r="I308" s="2433"/>
      <c r="J308" s="2433"/>
      <c r="K308" s="791"/>
      <c r="L308" s="791"/>
      <c r="M308" s="2202"/>
      <c r="N308" s="2202"/>
      <c r="O308" s="655"/>
      <c r="P308" s="655"/>
      <c r="Q308" s="655"/>
      <c r="R308" s="655"/>
      <c r="S308" s="655"/>
      <c r="T308" s="655"/>
      <c r="U308" s="655"/>
    </row>
    <row r="309" spans="2:21">
      <c r="B309" s="662"/>
      <c r="D309" s="783"/>
      <c r="J309" s="860"/>
      <c r="K309" s="791"/>
      <c r="L309" s="791"/>
      <c r="M309" s="2202"/>
      <c r="N309" s="2202"/>
      <c r="O309" s="655"/>
      <c r="P309" s="655"/>
      <c r="Q309" s="655"/>
      <c r="R309" s="655"/>
      <c r="S309" s="655"/>
      <c r="T309" s="655"/>
      <c r="U309" s="655"/>
    </row>
    <row r="310" spans="2:21">
      <c r="B310" s="788" t="s">
        <v>13</v>
      </c>
      <c r="C310" s="789"/>
      <c r="D310" s="783" t="s">
        <v>534</v>
      </c>
      <c r="J310" s="860"/>
      <c r="K310" s="791"/>
      <c r="L310" s="791"/>
      <c r="M310" s="2202"/>
      <c r="N310" s="2202"/>
      <c r="O310" s="655"/>
      <c r="P310" s="655"/>
      <c r="Q310" s="655"/>
      <c r="R310" s="655"/>
      <c r="S310" s="655"/>
      <c r="T310" s="655"/>
      <c r="U310" s="655"/>
    </row>
    <row r="311" spans="2:21">
      <c r="B311" s="788"/>
      <c r="C311" s="789"/>
      <c r="D311" s="783"/>
      <c r="E311" s="655"/>
      <c r="F311" s="655"/>
      <c r="G311" s="655"/>
      <c r="H311" s="655"/>
      <c r="I311" s="655"/>
      <c r="J311" s="929"/>
      <c r="K311" s="791"/>
      <c r="L311" s="791"/>
      <c r="M311" s="2202"/>
      <c r="N311" s="2202"/>
      <c r="O311" s="655"/>
      <c r="P311" s="655"/>
      <c r="Q311" s="655"/>
      <c r="R311" s="655"/>
      <c r="S311" s="655"/>
      <c r="T311" s="655"/>
      <c r="U311" s="655"/>
    </row>
    <row r="312" spans="2:21">
      <c r="B312" s="788" t="s">
        <v>14</v>
      </c>
      <c r="C312" s="789"/>
      <c r="D312" s="783" t="s">
        <v>143</v>
      </c>
      <c r="E312" s="655"/>
      <c r="F312" s="655"/>
      <c r="G312" s="655"/>
      <c r="H312" s="655"/>
      <c r="I312" s="655"/>
      <c r="J312" s="929"/>
      <c r="K312" s="791"/>
      <c r="L312" s="791"/>
      <c r="M312" s="2202"/>
      <c r="N312" s="2202"/>
      <c r="O312" s="655"/>
      <c r="P312" s="655"/>
      <c r="Q312" s="655"/>
      <c r="R312" s="655"/>
      <c r="S312" s="655"/>
      <c r="T312" s="655"/>
      <c r="U312" s="655"/>
    </row>
    <row r="313" spans="2:21">
      <c r="B313" s="788"/>
      <c r="C313" s="789"/>
      <c r="D313" s="783"/>
      <c r="E313" s="655"/>
      <c r="F313" s="655"/>
      <c r="G313" s="655"/>
      <c r="H313" s="655"/>
      <c r="I313" s="655"/>
      <c r="J313" s="929"/>
      <c r="K313" s="791"/>
      <c r="L313" s="791"/>
      <c r="M313" s="2202"/>
      <c r="N313" s="2202"/>
      <c r="O313" s="655"/>
      <c r="P313" s="655"/>
      <c r="Q313" s="655"/>
      <c r="R313" s="655"/>
      <c r="S313" s="655"/>
      <c r="T313" s="655"/>
      <c r="U313" s="655"/>
    </row>
    <row r="314" spans="2:21" ht="20.25" customHeight="1">
      <c r="B314" s="866" t="s">
        <v>55</v>
      </c>
      <c r="C314" s="863"/>
      <c r="D314" s="783"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860"/>
      <c r="M314" s="2202"/>
      <c r="N314" s="2202"/>
      <c r="O314" s="655"/>
      <c r="P314" s="655"/>
      <c r="Q314" s="655"/>
      <c r="R314" s="655"/>
      <c r="S314" s="655"/>
      <c r="T314" s="655"/>
      <c r="U314" s="655"/>
    </row>
    <row r="315" spans="2:21" ht="18" customHeight="1">
      <c r="D315" s="783" t="s">
        <v>1785</v>
      </c>
      <c r="J315" s="860"/>
      <c r="M315" s="2202"/>
      <c r="N315" s="2202"/>
      <c r="O315" s="655"/>
      <c r="P315" s="655"/>
      <c r="Q315" s="655"/>
      <c r="R315" s="655"/>
      <c r="S315" s="655"/>
      <c r="T315" s="655"/>
      <c r="U315" s="655"/>
    </row>
    <row r="316" spans="2:21" ht="17.25" customHeight="1">
      <c r="D316" s="783" t="s">
        <v>1786</v>
      </c>
      <c r="J316" s="860"/>
      <c r="M316" s="2202"/>
      <c r="N316" s="2202"/>
      <c r="O316" s="655"/>
      <c r="P316" s="655"/>
      <c r="Q316" s="655"/>
      <c r="R316" s="655"/>
      <c r="S316" s="655"/>
      <c r="T316" s="655"/>
      <c r="U316" s="655"/>
    </row>
    <row r="317" spans="2:21" ht="45" customHeight="1">
      <c r="D317" s="2425" t="s">
        <v>868</v>
      </c>
      <c r="E317" s="2425"/>
      <c r="F317" s="2425"/>
      <c r="G317" s="2425"/>
      <c r="H317" s="2425"/>
      <c r="I317" s="2425"/>
      <c r="J317" s="2425"/>
      <c r="M317" s="2202"/>
      <c r="N317" s="2202"/>
      <c r="O317" s="655"/>
      <c r="P317" s="655"/>
      <c r="Q317" s="655"/>
      <c r="R317" s="655"/>
      <c r="S317" s="655"/>
      <c r="T317" s="655"/>
      <c r="U317" s="655"/>
    </row>
    <row r="318" spans="2:21" ht="14.25" customHeight="1">
      <c r="D318" s="855"/>
      <c r="E318" s="855"/>
      <c r="F318" s="855"/>
      <c r="G318" s="855"/>
      <c r="H318" s="855"/>
      <c r="I318" s="855"/>
      <c r="J318" s="855"/>
      <c r="M318" s="2202"/>
      <c r="N318" s="2202"/>
      <c r="O318" s="655"/>
      <c r="P318" s="655"/>
      <c r="Q318" s="655"/>
      <c r="R318" s="655"/>
      <c r="S318" s="655"/>
      <c r="T318" s="655"/>
      <c r="U318" s="655"/>
    </row>
    <row r="319" spans="2:21">
      <c r="B319" s="788" t="s">
        <v>940</v>
      </c>
      <c r="C319" s="789"/>
      <c r="D319" s="395" t="s">
        <v>1158</v>
      </c>
      <c r="M319" s="2202"/>
      <c r="N319" s="2202"/>
      <c r="O319" s="655"/>
      <c r="P319" s="655"/>
      <c r="Q319" s="655"/>
      <c r="R319" s="655"/>
      <c r="S319" s="655"/>
      <c r="T319" s="655"/>
      <c r="U319" s="655"/>
    </row>
    <row r="320" spans="2:21">
      <c r="B320" s="788"/>
      <c r="C320" s="789"/>
      <c r="M320" s="2202"/>
      <c r="N320" s="2202"/>
      <c r="O320" s="655"/>
      <c r="P320" s="655"/>
      <c r="Q320" s="655"/>
      <c r="R320" s="655"/>
      <c r="S320" s="655"/>
      <c r="T320" s="655"/>
      <c r="U320" s="655"/>
    </row>
    <row r="321" spans="2:21" ht="33.75" customHeight="1">
      <c r="B321" s="933" t="s">
        <v>1159</v>
      </c>
      <c r="C321" s="934"/>
      <c r="D321" s="2427" t="s">
        <v>1189</v>
      </c>
      <c r="E321" s="2427"/>
      <c r="F321" s="2427"/>
      <c r="G321" s="2427"/>
      <c r="H321" s="2427"/>
      <c r="I321" s="2427"/>
      <c r="J321" s="2427"/>
      <c r="M321" s="2202"/>
      <c r="N321" s="2202"/>
      <c r="O321" s="655"/>
      <c r="P321" s="655"/>
      <c r="Q321" s="655"/>
      <c r="R321" s="655"/>
      <c r="S321" s="655"/>
      <c r="T321" s="655"/>
      <c r="U321" s="655"/>
    </row>
    <row r="322" spans="2:21" ht="51" customHeight="1">
      <c r="B322" s="933" t="s">
        <v>1372</v>
      </c>
      <c r="C322" s="934"/>
      <c r="D322" s="2426" t="s">
        <v>1373</v>
      </c>
      <c r="E322" s="2426"/>
      <c r="F322" s="2426"/>
      <c r="G322" s="2426"/>
      <c r="H322" s="2426"/>
      <c r="I322" s="2426"/>
      <c r="J322" s="2426"/>
      <c r="M322" s="2202"/>
      <c r="N322" s="2202"/>
      <c r="O322" s="655"/>
      <c r="P322" s="655"/>
      <c r="Q322" s="655"/>
      <c r="R322" s="655"/>
      <c r="S322" s="655"/>
      <c r="T322" s="655"/>
      <c r="U322" s="655"/>
    </row>
    <row r="323" spans="2:21" ht="52.5" customHeight="1">
      <c r="B323" s="933" t="s">
        <v>1374</v>
      </c>
      <c r="C323" s="934"/>
      <c r="D323" s="2426" t="s">
        <v>1375</v>
      </c>
      <c r="E323" s="2426"/>
      <c r="F323" s="2426"/>
      <c r="G323" s="2426"/>
      <c r="H323" s="2426"/>
      <c r="I323" s="2426"/>
      <c r="J323" s="2426"/>
      <c r="M323" s="2202"/>
      <c r="N323" s="2202"/>
      <c r="O323" s="655"/>
      <c r="P323" s="655"/>
      <c r="Q323" s="655"/>
      <c r="R323" s="655"/>
      <c r="S323" s="655"/>
      <c r="T323" s="655"/>
      <c r="U323" s="655"/>
    </row>
    <row r="324" spans="2:21">
      <c r="B324" s="791"/>
      <c r="C324" s="791"/>
      <c r="D324" s="791"/>
      <c r="E324" s="791"/>
      <c r="F324" s="791"/>
      <c r="G324" s="791"/>
      <c r="H324" s="791"/>
      <c r="M324" s="2202"/>
      <c r="N324" s="2202"/>
      <c r="O324" s="655"/>
      <c r="P324" s="655"/>
      <c r="Q324" s="655"/>
      <c r="R324" s="655"/>
      <c r="S324" s="655"/>
      <c r="T324" s="655"/>
      <c r="U324" s="655"/>
    </row>
    <row r="325" spans="2:21">
      <c r="B325" s="791"/>
      <c r="C325" s="791"/>
      <c r="D325" s="791"/>
      <c r="E325" s="791"/>
      <c r="F325" s="791"/>
      <c r="G325" s="791"/>
      <c r="H325" s="791"/>
      <c r="M325" s="2202"/>
      <c r="N325" s="2202"/>
      <c r="O325" s="655"/>
      <c r="P325" s="655"/>
      <c r="Q325" s="655"/>
      <c r="R325" s="655"/>
      <c r="S325" s="655"/>
      <c r="T325" s="655"/>
      <c r="U325" s="655"/>
    </row>
    <row r="326" spans="2:21">
      <c r="B326" s="791"/>
      <c r="C326" s="791"/>
      <c r="D326" s="791"/>
      <c r="E326" s="791"/>
      <c r="F326" s="791"/>
      <c r="G326" s="791"/>
      <c r="H326" s="791"/>
      <c r="M326" s="2202"/>
      <c r="N326" s="2202"/>
      <c r="O326" s="655"/>
      <c r="P326" s="655"/>
      <c r="Q326" s="655"/>
      <c r="R326" s="655"/>
      <c r="S326" s="655"/>
      <c r="T326" s="655"/>
      <c r="U326" s="655"/>
    </row>
    <row r="327" spans="2:21">
      <c r="B327" s="791"/>
      <c r="C327" s="791"/>
      <c r="D327" s="791"/>
      <c r="E327" s="791"/>
      <c r="F327" s="791"/>
      <c r="G327" s="791"/>
      <c r="H327" s="791"/>
      <c r="M327" s="2202"/>
      <c r="N327" s="2202"/>
      <c r="O327" s="655"/>
      <c r="P327" s="655"/>
      <c r="Q327" s="655"/>
      <c r="R327" s="655"/>
      <c r="S327" s="655"/>
      <c r="T327" s="655"/>
      <c r="U327" s="655"/>
    </row>
    <row r="328" spans="2:21">
      <c r="B328" s="791"/>
      <c r="C328" s="791"/>
      <c r="D328" s="791"/>
      <c r="E328" s="791"/>
      <c r="F328" s="791"/>
      <c r="G328" s="791"/>
      <c r="H328" s="791"/>
      <c r="M328" s="2202"/>
      <c r="N328" s="2202"/>
      <c r="O328" s="655"/>
      <c r="P328" s="655"/>
      <c r="Q328" s="655"/>
      <c r="R328" s="655"/>
      <c r="S328" s="655"/>
      <c r="T328" s="655"/>
      <c r="U328" s="655"/>
    </row>
    <row r="329" spans="2:21">
      <c r="B329" s="791"/>
      <c r="C329" s="791"/>
      <c r="D329" s="791"/>
      <c r="E329" s="791"/>
      <c r="F329" s="791"/>
      <c r="G329" s="791"/>
      <c r="H329" s="791"/>
      <c r="M329" s="2202"/>
      <c r="N329" s="2202"/>
      <c r="O329" s="655"/>
      <c r="P329" s="655"/>
      <c r="Q329" s="655"/>
      <c r="R329" s="655"/>
      <c r="S329" s="655"/>
      <c r="T329" s="655"/>
      <c r="U329" s="655"/>
    </row>
    <row r="330" spans="2:21">
      <c r="B330" s="791"/>
      <c r="C330" s="791"/>
      <c r="D330" s="791"/>
      <c r="E330" s="791"/>
      <c r="F330" s="791"/>
      <c r="G330" s="791"/>
      <c r="H330" s="791"/>
      <c r="M330" s="2202"/>
      <c r="N330" s="2202"/>
      <c r="O330" s="655"/>
      <c r="P330" s="655"/>
      <c r="Q330" s="655"/>
      <c r="R330" s="655"/>
      <c r="S330" s="655"/>
      <c r="T330" s="655"/>
      <c r="U330" s="655"/>
    </row>
    <row r="331" spans="2:21">
      <c r="B331" s="791"/>
      <c r="C331" s="791"/>
      <c r="D331" s="791"/>
      <c r="E331" s="791"/>
      <c r="F331" s="791"/>
      <c r="G331" s="791"/>
      <c r="H331" s="791"/>
      <c r="M331" s="2202"/>
      <c r="N331" s="2202"/>
      <c r="O331" s="655"/>
      <c r="P331" s="655"/>
      <c r="Q331" s="655"/>
      <c r="R331" s="655"/>
      <c r="S331" s="655"/>
      <c r="T331" s="655"/>
      <c r="U331" s="655"/>
    </row>
    <row r="332" spans="2:21">
      <c r="B332" s="788"/>
      <c r="C332" s="789"/>
      <c r="M332" s="2202"/>
      <c r="N332" s="2202"/>
      <c r="O332" s="655"/>
      <c r="P332" s="655"/>
      <c r="Q332" s="655"/>
      <c r="R332" s="655"/>
      <c r="S332" s="655"/>
      <c r="T332" s="655"/>
      <c r="U332" s="655"/>
    </row>
    <row r="333" spans="2:21">
      <c r="B333" s="662"/>
      <c r="M333" s="2202"/>
      <c r="N333" s="2202"/>
      <c r="O333" s="655"/>
      <c r="P333" s="655"/>
      <c r="Q333" s="655"/>
      <c r="R333" s="655"/>
      <c r="S333" s="655"/>
      <c r="T333" s="655"/>
      <c r="U333" s="655"/>
    </row>
    <row r="334" spans="2:21">
      <c r="B334" s="662"/>
      <c r="M334" s="2202"/>
      <c r="N334" s="2202"/>
      <c r="O334" s="655"/>
      <c r="P334" s="655"/>
      <c r="Q334" s="655"/>
      <c r="R334" s="655"/>
      <c r="S334" s="655"/>
      <c r="T334" s="655"/>
      <c r="U334" s="655"/>
    </row>
    <row r="335" spans="2:21">
      <c r="B335" s="662"/>
      <c r="M335" s="2202"/>
      <c r="N335" s="2202"/>
      <c r="O335" s="655"/>
      <c r="P335" s="655"/>
      <c r="Q335" s="655"/>
      <c r="R335" s="655"/>
      <c r="S335" s="655"/>
      <c r="T335" s="655"/>
      <c r="U335" s="655"/>
    </row>
    <row r="336" spans="2:21">
      <c r="B336" s="662"/>
      <c r="H336" s="655"/>
      <c r="I336" s="655"/>
      <c r="J336" s="655"/>
      <c r="K336" s="655"/>
      <c r="L336" s="655"/>
      <c r="M336" s="2202"/>
      <c r="N336" s="2202"/>
      <c r="O336" s="655"/>
      <c r="P336" s="655"/>
      <c r="Q336" s="655"/>
      <c r="R336" s="655"/>
      <c r="S336" s="655"/>
      <c r="T336" s="655"/>
      <c r="U336" s="655"/>
    </row>
    <row r="337" spans="2:21">
      <c r="B337" s="662"/>
      <c r="H337" s="655"/>
      <c r="K337" s="655"/>
      <c r="L337" s="655"/>
      <c r="M337" s="2202"/>
      <c r="N337" s="2202"/>
      <c r="O337" s="655"/>
      <c r="P337" s="655"/>
      <c r="Q337" s="655"/>
      <c r="R337" s="655"/>
      <c r="S337" s="655"/>
      <c r="T337" s="655"/>
      <c r="U337" s="655"/>
    </row>
    <row r="338" spans="2:21">
      <c r="B338" s="662"/>
      <c r="H338" s="655"/>
      <c r="I338" s="655"/>
      <c r="J338" s="935"/>
      <c r="K338" s="655"/>
      <c r="L338" s="655"/>
      <c r="M338" s="2202"/>
      <c r="N338" s="2202"/>
      <c r="O338" s="655"/>
      <c r="P338" s="655"/>
      <c r="Q338" s="655"/>
      <c r="R338" s="655"/>
      <c r="S338" s="655"/>
      <c r="T338" s="655"/>
      <c r="U338" s="655"/>
    </row>
    <row r="339" spans="2:21">
      <c r="B339" s="662"/>
      <c r="H339" s="655"/>
      <c r="I339" s="789"/>
      <c r="J339" s="935"/>
      <c r="K339" s="655"/>
      <c r="L339" s="655"/>
      <c r="M339" s="2202"/>
      <c r="N339" s="2202"/>
      <c r="O339" s="655"/>
      <c r="P339" s="655"/>
      <c r="Q339" s="655"/>
      <c r="R339" s="655"/>
      <c r="S339" s="655"/>
      <c r="T339" s="655"/>
      <c r="U339" s="655"/>
    </row>
    <row r="340" spans="2:21">
      <c r="B340" s="662"/>
      <c r="H340" s="655"/>
      <c r="I340" s="789"/>
      <c r="J340" s="935"/>
      <c r="K340" s="655"/>
      <c r="L340" s="655"/>
      <c r="M340" s="2202"/>
      <c r="N340" s="2202"/>
      <c r="O340" s="655"/>
      <c r="P340" s="655"/>
      <c r="Q340" s="655"/>
      <c r="R340" s="655"/>
      <c r="S340" s="655"/>
      <c r="T340" s="655"/>
      <c r="U340" s="655"/>
    </row>
    <row r="341" spans="2:21">
      <c r="B341" s="662"/>
      <c r="H341" s="655"/>
      <c r="I341" s="789"/>
      <c r="J341" s="935"/>
      <c r="K341" s="655"/>
      <c r="L341" s="655"/>
      <c r="M341" s="2202"/>
      <c r="N341" s="2202"/>
      <c r="O341" s="655"/>
      <c r="P341" s="655"/>
      <c r="Q341" s="655"/>
      <c r="R341" s="655"/>
      <c r="S341" s="655"/>
      <c r="T341" s="655"/>
      <c r="U341" s="655"/>
    </row>
    <row r="342" spans="2:21">
      <c r="B342" s="936"/>
      <c r="C342" s="655"/>
      <c r="D342" s="655"/>
      <c r="E342" s="655"/>
      <c r="F342" s="655"/>
      <c r="G342" s="655"/>
      <c r="H342" s="655"/>
      <c r="I342" s="789"/>
      <c r="J342" s="937"/>
      <c r="K342" s="655"/>
      <c r="L342" s="655"/>
      <c r="M342" s="2202"/>
      <c r="N342" s="2202"/>
      <c r="O342" s="655"/>
      <c r="P342" s="655"/>
      <c r="Q342" s="655"/>
      <c r="R342" s="655"/>
      <c r="S342" s="655"/>
      <c r="T342" s="655"/>
      <c r="U342" s="655"/>
    </row>
    <row r="343" spans="2:21">
      <c r="B343" s="936"/>
      <c r="C343" s="655"/>
      <c r="D343" s="655"/>
      <c r="E343" s="655"/>
      <c r="F343" s="655"/>
      <c r="G343" s="655"/>
      <c r="H343" s="655"/>
      <c r="I343" s="789"/>
      <c r="J343" s="935"/>
      <c r="K343" s="655"/>
      <c r="L343" s="655"/>
      <c r="M343" s="2202"/>
      <c r="N343" s="2202"/>
      <c r="O343" s="655"/>
      <c r="P343" s="655"/>
      <c r="Q343" s="655"/>
      <c r="R343" s="655"/>
      <c r="S343" s="655"/>
      <c r="T343" s="655"/>
      <c r="U343" s="655"/>
    </row>
    <row r="344" spans="2:21">
      <c r="B344" s="936"/>
      <c r="C344" s="655"/>
      <c r="D344" s="655"/>
      <c r="E344" s="655"/>
      <c r="F344" s="655"/>
      <c r="G344" s="655"/>
      <c r="H344" s="655"/>
      <c r="I344" s="789"/>
      <c r="J344" s="935"/>
      <c r="K344" s="655"/>
      <c r="L344" s="655"/>
      <c r="M344" s="2202"/>
      <c r="N344" s="2202"/>
      <c r="O344" s="655"/>
      <c r="P344" s="655"/>
      <c r="Q344" s="655"/>
      <c r="R344" s="655"/>
      <c r="S344" s="655"/>
      <c r="T344" s="655"/>
      <c r="U344" s="655"/>
    </row>
    <row r="345" spans="2:21">
      <c r="I345" s="789"/>
      <c r="J345" s="935"/>
      <c r="M345" s="2202"/>
      <c r="N345" s="2202"/>
    </row>
    <row r="346" spans="2:21">
      <c r="I346" s="789"/>
      <c r="J346" s="935"/>
      <c r="M346" s="2202"/>
      <c r="N346" s="2202"/>
    </row>
    <row r="347" spans="2:21">
      <c r="M347" s="2202"/>
      <c r="N347" s="2202"/>
    </row>
    <row r="348" spans="2:21">
      <c r="M348" s="2202"/>
      <c r="N348" s="2202"/>
    </row>
    <row r="349" spans="2:21">
      <c r="M349" s="2202"/>
      <c r="N349" s="2202"/>
    </row>
    <row r="350" spans="2:21">
      <c r="M350" s="2202"/>
      <c r="N350" s="2202"/>
    </row>
    <row r="351" spans="2:21">
      <c r="M351" s="2202"/>
      <c r="N351" s="2202"/>
    </row>
    <row r="352" spans="2:21">
      <c r="M352" s="2202"/>
      <c r="N352" s="2202"/>
    </row>
    <row r="353" spans="13:14">
      <c r="M353" s="2202"/>
      <c r="N353" s="2202"/>
    </row>
    <row r="354" spans="13:14">
      <c r="M354" s="2202"/>
      <c r="N354" s="2202"/>
    </row>
    <row r="355" spans="13:14">
      <c r="M355" s="2202"/>
      <c r="N355" s="2202"/>
    </row>
    <row r="356" spans="13:14">
      <c r="M356" s="2202"/>
      <c r="N356" s="2202"/>
    </row>
    <row r="357" spans="13:14">
      <c r="M357" s="2202"/>
      <c r="N357" s="2202"/>
    </row>
    <row r="358" spans="13:14">
      <c r="M358" s="2202"/>
      <c r="N358" s="2202"/>
    </row>
    <row r="359" spans="13:14">
      <c r="M359" s="2202"/>
      <c r="N359" s="2202"/>
    </row>
    <row r="360" spans="13:14">
      <c r="M360" s="2202"/>
      <c r="N360" s="2202"/>
    </row>
    <row r="361" spans="13:14">
      <c r="M361" s="2202"/>
      <c r="N361" s="2202"/>
    </row>
    <row r="362" spans="13:14">
      <c r="M362" s="2202"/>
      <c r="N362" s="2202"/>
    </row>
    <row r="363" spans="13:14">
      <c r="M363" s="2202"/>
      <c r="N363" s="2202"/>
    </row>
    <row r="364" spans="13:14">
      <c r="M364" s="2202"/>
      <c r="N364" s="2202"/>
    </row>
    <row r="365" spans="13:14">
      <c r="M365" s="2202"/>
      <c r="N365" s="2202"/>
    </row>
    <row r="366" spans="13:14">
      <c r="M366" s="2202"/>
      <c r="N366" s="2202"/>
    </row>
    <row r="367" spans="13:14">
      <c r="M367" s="2202"/>
      <c r="N367" s="2202"/>
    </row>
    <row r="368" spans="13:14">
      <c r="M368" s="2202"/>
      <c r="N368" s="2202"/>
    </row>
    <row r="369" spans="13:14">
      <c r="M369" s="2202"/>
      <c r="N369" s="2202"/>
    </row>
    <row r="370" spans="13:14">
      <c r="M370" s="2202"/>
      <c r="N370" s="2202"/>
    </row>
    <row r="371" spans="13:14">
      <c r="M371" s="2202"/>
      <c r="N371" s="2202"/>
    </row>
    <row r="372" spans="13:14">
      <c r="M372" s="2202"/>
      <c r="N372" s="2202"/>
    </row>
    <row r="373" spans="13:14">
      <c r="M373" s="2202"/>
      <c r="N373" s="2202"/>
    </row>
    <row r="374" spans="13:14">
      <c r="M374" s="2202"/>
      <c r="N374" s="2202"/>
    </row>
    <row r="375" spans="13:14">
      <c r="M375" s="2202"/>
      <c r="N375" s="2202"/>
    </row>
    <row r="376" spans="13:14">
      <c r="M376" s="2202"/>
      <c r="N376" s="2202"/>
    </row>
    <row r="377" spans="13:14">
      <c r="M377" s="2202"/>
      <c r="N377" s="2202"/>
    </row>
    <row r="378" spans="13:14">
      <c r="M378" s="2202"/>
      <c r="N378" s="2202"/>
    </row>
    <row r="379" spans="13:14">
      <c r="M379" s="2202"/>
      <c r="N379" s="2202"/>
    </row>
    <row r="380" spans="13:14">
      <c r="M380" s="2202"/>
      <c r="N380" s="2202"/>
    </row>
    <row r="381" spans="13:14">
      <c r="M381" s="2202"/>
      <c r="N381" s="2202"/>
    </row>
    <row r="382" spans="13:14">
      <c r="M382" s="2202"/>
      <c r="N382" s="2202"/>
    </row>
    <row r="383" spans="13:14">
      <c r="M383" s="2202"/>
      <c r="N383" s="2202"/>
    </row>
    <row r="384" spans="13:14">
      <c r="M384" s="2202"/>
      <c r="N384" s="2202"/>
    </row>
    <row r="385" spans="13:14">
      <c r="M385" s="2202"/>
      <c r="N385" s="2202"/>
    </row>
    <row r="386" spans="13:14">
      <c r="M386" s="2202"/>
      <c r="N386" s="2202"/>
    </row>
    <row r="387" spans="13:14">
      <c r="M387" s="2202"/>
      <c r="N387" s="2202"/>
    </row>
    <row r="388" spans="13:14">
      <c r="M388" s="2202"/>
      <c r="N388" s="2202"/>
    </row>
    <row r="389" spans="13:14">
      <c r="M389" s="2202"/>
      <c r="N389" s="2202"/>
    </row>
    <row r="390" spans="13:14">
      <c r="M390" s="2202"/>
      <c r="N390" s="2202"/>
    </row>
    <row r="391" spans="13:14">
      <c r="M391" s="2202"/>
      <c r="N391" s="2202"/>
    </row>
    <row r="392" spans="13:14">
      <c r="M392" s="2202"/>
      <c r="N392" s="2202"/>
    </row>
    <row r="393" spans="13:14">
      <c r="M393" s="2202"/>
      <c r="N393" s="2202"/>
    </row>
    <row r="394" spans="13:14">
      <c r="M394" s="2202"/>
      <c r="N394" s="2202"/>
    </row>
    <row r="395" spans="13:14">
      <c r="M395" s="2202"/>
      <c r="N395" s="2202"/>
    </row>
    <row r="396" spans="13:14">
      <c r="M396" s="2202"/>
      <c r="N396" s="2202"/>
    </row>
    <row r="397" spans="13:14">
      <c r="M397" s="2202"/>
      <c r="N397" s="2202"/>
    </row>
    <row r="398" spans="13:14">
      <c r="M398" s="2202"/>
      <c r="N398" s="2202"/>
    </row>
    <row r="399" spans="13:14">
      <c r="M399" s="2202"/>
      <c r="N399" s="2202"/>
    </row>
    <row r="400" spans="13:14">
      <c r="M400" s="2202"/>
      <c r="N400" s="2202"/>
    </row>
    <row r="401" spans="13:14">
      <c r="M401" s="2202"/>
      <c r="N401" s="2202"/>
    </row>
    <row r="402" spans="13:14">
      <c r="M402" s="2202"/>
      <c r="N402" s="2202"/>
    </row>
    <row r="403" spans="13:14">
      <c r="M403" s="2202"/>
      <c r="N403" s="2202"/>
    </row>
    <row r="404" spans="13:14">
      <c r="M404" s="2202"/>
      <c r="N404" s="2202"/>
    </row>
    <row r="405" spans="13:14">
      <c r="M405" s="2202"/>
      <c r="N405" s="2202"/>
    </row>
    <row r="406" spans="13:14">
      <c r="M406" s="2202"/>
      <c r="N406" s="2202"/>
    </row>
    <row r="407" spans="13:14">
      <c r="M407" s="2202"/>
      <c r="N407" s="2202"/>
    </row>
    <row r="408" spans="13:14">
      <c r="M408" s="2202"/>
      <c r="N408" s="2202"/>
    </row>
    <row r="409" spans="13:14">
      <c r="M409" s="2202"/>
      <c r="N409" s="2202"/>
    </row>
    <row r="410" spans="13:14">
      <c r="M410" s="2202"/>
      <c r="N410" s="2202"/>
    </row>
    <row r="411" spans="13:14">
      <c r="M411" s="2202"/>
      <c r="N411" s="2202"/>
    </row>
    <row r="412" spans="13:14">
      <c r="M412" s="2202"/>
      <c r="N412" s="2202"/>
    </row>
    <row r="413" spans="13:14">
      <c r="M413" s="2202"/>
      <c r="N413" s="2202"/>
    </row>
    <row r="414" spans="13:14">
      <c r="M414" s="2202"/>
      <c r="N414" s="2202"/>
    </row>
    <row r="415" spans="13:14">
      <c r="M415" s="2202"/>
      <c r="N415" s="2202"/>
    </row>
    <row r="416" spans="13:14">
      <c r="M416" s="2202"/>
      <c r="N416" s="2202"/>
    </row>
    <row r="417" spans="13:14">
      <c r="M417" s="2202"/>
      <c r="N417" s="2202"/>
    </row>
    <row r="418" spans="13:14">
      <c r="M418" s="2202"/>
      <c r="N418" s="2202"/>
    </row>
    <row r="419" spans="13:14">
      <c r="M419" s="2202"/>
      <c r="N419" s="2202"/>
    </row>
    <row r="420" spans="13:14">
      <c r="M420" s="2202"/>
      <c r="N420" s="2202"/>
    </row>
    <row r="421" spans="13:14">
      <c r="M421" s="2202"/>
      <c r="N421" s="2202"/>
    </row>
    <row r="422" spans="13:14">
      <c r="M422" s="2202"/>
      <c r="N422" s="2202"/>
    </row>
    <row r="423" spans="13:14">
      <c r="M423" s="2202"/>
      <c r="N423" s="2202"/>
    </row>
    <row r="424" spans="13:14">
      <c r="M424" s="2202"/>
      <c r="N424" s="2202"/>
    </row>
    <row r="425" spans="13:14">
      <c r="M425" s="2202"/>
      <c r="N425" s="2202"/>
    </row>
    <row r="426" spans="13:14">
      <c r="M426" s="2202"/>
      <c r="N426" s="2202"/>
    </row>
    <row r="427" spans="13:14">
      <c r="M427" s="2202"/>
      <c r="N427" s="2202"/>
    </row>
    <row r="428" spans="13:14">
      <c r="M428" s="2202"/>
      <c r="N428" s="2202"/>
    </row>
    <row r="429" spans="13:14">
      <c r="M429" s="2202"/>
      <c r="N429" s="2202"/>
    </row>
    <row r="430" spans="13:14">
      <c r="M430" s="2202"/>
      <c r="N430" s="2202"/>
    </row>
    <row r="431" spans="13:14">
      <c r="M431" s="2202"/>
      <c r="N431" s="2202"/>
    </row>
    <row r="432" spans="13:14">
      <c r="M432" s="2202"/>
      <c r="N432" s="2202"/>
    </row>
    <row r="433" spans="13:14">
      <c r="M433" s="2202"/>
      <c r="N433" s="2202"/>
    </row>
    <row r="434" spans="13:14">
      <c r="M434" s="2202"/>
      <c r="N434" s="2202"/>
    </row>
    <row r="435" spans="13:14">
      <c r="M435" s="2202"/>
      <c r="N435" s="2202"/>
    </row>
    <row r="436" spans="13:14">
      <c r="M436" s="2202"/>
      <c r="N436" s="2202"/>
    </row>
    <row r="437" spans="13:14">
      <c r="M437" s="2202"/>
      <c r="N437" s="2202"/>
    </row>
    <row r="438" spans="13:14">
      <c r="M438" s="2202"/>
      <c r="N438" s="2202"/>
    </row>
    <row r="439" spans="13:14">
      <c r="M439" s="2202"/>
      <c r="N439" s="2202"/>
    </row>
    <row r="440" spans="13:14">
      <c r="M440" s="2202"/>
      <c r="N440" s="2202"/>
    </row>
    <row r="441" spans="13:14">
      <c r="M441" s="2202"/>
      <c r="N441" s="2202"/>
    </row>
    <row r="442" spans="13:14">
      <c r="M442" s="2202"/>
      <c r="N442" s="2202"/>
    </row>
    <row r="443" spans="13:14">
      <c r="M443" s="2202"/>
      <c r="N443" s="2202"/>
    </row>
    <row r="444" spans="13:14">
      <c r="M444" s="2202"/>
      <c r="N444" s="2202"/>
    </row>
    <row r="445" spans="13:14">
      <c r="M445" s="2202"/>
      <c r="N445" s="2202"/>
    </row>
    <row r="446" spans="13:14">
      <c r="M446" s="2202"/>
      <c r="N446" s="2202"/>
    </row>
    <row r="447" spans="13:14">
      <c r="M447" s="2202"/>
      <c r="N447" s="2202"/>
    </row>
    <row r="448" spans="13:14">
      <c r="M448" s="2202"/>
      <c r="N448" s="2202"/>
    </row>
    <row r="449" spans="13:14">
      <c r="M449" s="2202"/>
      <c r="N449" s="2202"/>
    </row>
    <row r="450" spans="13:14">
      <c r="M450" s="2202"/>
      <c r="N450" s="2202"/>
    </row>
    <row r="451" spans="13:14">
      <c r="M451" s="2202"/>
      <c r="N451" s="2202"/>
    </row>
    <row r="452" spans="13:14">
      <c r="M452" s="2202"/>
      <c r="N452" s="2202"/>
    </row>
    <row r="453" spans="13:14">
      <c r="M453" s="2202"/>
      <c r="N453" s="2202"/>
    </row>
    <row r="454" spans="13:14">
      <c r="M454" s="2202"/>
      <c r="N454" s="2202"/>
    </row>
    <row r="455" spans="13:14">
      <c r="M455" s="2202"/>
      <c r="N455" s="2202"/>
    </row>
    <row r="456" spans="13:14">
      <c r="M456" s="2202"/>
      <c r="N456" s="2202"/>
    </row>
    <row r="457" spans="13:14">
      <c r="M457" s="2202"/>
      <c r="N457" s="2202"/>
    </row>
    <row r="458" spans="13:14">
      <c r="M458" s="2202"/>
      <c r="N458" s="2202"/>
    </row>
    <row r="459" spans="13:14">
      <c r="M459" s="2202"/>
      <c r="N459" s="2202"/>
    </row>
    <row r="460" spans="13:14">
      <c r="M460" s="2202"/>
      <c r="N460" s="2202"/>
    </row>
    <row r="461" spans="13:14">
      <c r="M461" s="2202"/>
      <c r="N461" s="2202"/>
    </row>
    <row r="462" spans="13:14">
      <c r="M462" s="2202"/>
      <c r="N462" s="2202"/>
    </row>
    <row r="463" spans="13:14">
      <c r="M463" s="2202"/>
      <c r="N463" s="2202"/>
    </row>
    <row r="464" spans="13:14">
      <c r="M464" s="2202"/>
      <c r="N464" s="2202"/>
    </row>
    <row r="465" spans="13:14">
      <c r="M465" s="2202"/>
      <c r="N465" s="2202"/>
    </row>
    <row r="466" spans="13:14">
      <c r="M466" s="2202"/>
      <c r="N466" s="2202"/>
    </row>
    <row r="467" spans="13:14">
      <c r="M467" s="2202"/>
      <c r="N467" s="2202"/>
    </row>
    <row r="468" spans="13:14">
      <c r="M468" s="2202"/>
      <c r="N468" s="2202"/>
    </row>
    <row r="469" spans="13:14">
      <c r="M469" s="2202"/>
      <c r="N469" s="2202"/>
    </row>
    <row r="470" spans="13:14">
      <c r="M470" s="2202"/>
      <c r="N470" s="2202"/>
    </row>
    <row r="471" spans="13:14">
      <c r="M471" s="2202"/>
      <c r="N471" s="2202"/>
    </row>
    <row r="472" spans="13:14">
      <c r="M472" s="2202"/>
      <c r="N472" s="2202"/>
    </row>
    <row r="473" spans="13:14">
      <c r="M473" s="2202"/>
      <c r="N473" s="2202"/>
    </row>
    <row r="474" spans="13:14">
      <c r="M474" s="2202"/>
      <c r="N474" s="2202"/>
    </row>
    <row r="475" spans="13:14">
      <c r="M475" s="2202"/>
      <c r="N475" s="2202"/>
    </row>
    <row r="476" spans="13:14">
      <c r="M476" s="2202"/>
      <c r="N476" s="2202"/>
    </row>
    <row r="477" spans="13:14">
      <c r="M477" s="2202"/>
      <c r="N477" s="2202"/>
    </row>
    <row r="478" spans="13:14">
      <c r="M478" s="2202"/>
      <c r="N478" s="2202"/>
    </row>
    <row r="479" spans="13:14">
      <c r="M479" s="2202"/>
      <c r="N479" s="2202"/>
    </row>
    <row r="480" spans="13:14">
      <c r="M480" s="2202"/>
      <c r="N480" s="2202"/>
    </row>
    <row r="481" spans="13:14">
      <c r="M481" s="2202"/>
      <c r="N481" s="2202"/>
    </row>
    <row r="482" spans="13:14">
      <c r="M482" s="2202"/>
      <c r="N482" s="2202"/>
    </row>
    <row r="483" spans="13:14">
      <c r="M483" s="2202"/>
      <c r="N483" s="2202"/>
    </row>
    <row r="484" spans="13:14">
      <c r="M484" s="2202"/>
      <c r="N484" s="2202"/>
    </row>
    <row r="485" spans="13:14">
      <c r="M485" s="2202"/>
      <c r="N485" s="2202"/>
    </row>
    <row r="486" spans="13:14">
      <c r="M486" s="2202"/>
      <c r="N486" s="2202"/>
    </row>
    <row r="487" spans="13:14">
      <c r="M487" s="2202"/>
      <c r="N487" s="2202"/>
    </row>
    <row r="488" spans="13:14">
      <c r="M488" s="2202"/>
      <c r="N488" s="2202"/>
    </row>
    <row r="489" spans="13:14">
      <c r="M489" s="2202"/>
      <c r="N489" s="2202"/>
    </row>
    <row r="490" spans="13:14">
      <c r="M490" s="2202"/>
      <c r="N490" s="2202"/>
    </row>
    <row r="491" spans="13:14">
      <c r="M491" s="2202"/>
      <c r="N491" s="2202"/>
    </row>
    <row r="492" spans="13:14">
      <c r="M492" s="2202"/>
      <c r="N492" s="2202"/>
    </row>
    <row r="493" spans="13:14">
      <c r="M493" s="2202"/>
      <c r="N493" s="2202"/>
    </row>
    <row r="494" spans="13:14">
      <c r="M494" s="2202"/>
      <c r="N494" s="2202"/>
    </row>
    <row r="495" spans="13:14">
      <c r="M495" s="2202"/>
      <c r="N495" s="2202"/>
    </row>
    <row r="496" spans="13:14">
      <c r="M496" s="2202"/>
      <c r="N496" s="2202"/>
    </row>
    <row r="497" spans="13:14">
      <c r="M497" s="2202"/>
      <c r="N497" s="2202"/>
    </row>
    <row r="498" spans="13:14">
      <c r="M498" s="2202"/>
      <c r="N498" s="2202"/>
    </row>
    <row r="499" spans="13:14">
      <c r="M499" s="2202"/>
      <c r="N499" s="2202"/>
    </row>
    <row r="500" spans="13:14">
      <c r="M500" s="2202"/>
      <c r="N500" s="2202"/>
    </row>
    <row r="501" spans="13:14">
      <c r="M501" s="2202"/>
      <c r="N501" s="2202"/>
    </row>
    <row r="502" spans="13:14">
      <c r="M502" s="2202"/>
      <c r="N502" s="2202"/>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4"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37" zoomScaleNormal="100" zoomScaleSheetLayoutView="70" zoomScalePageLayoutView="80" workbookViewId="0">
      <selection activeCell="H50" sqref="H50"/>
    </sheetView>
  </sheetViews>
  <sheetFormatPr defaultColWidth="11.42578125" defaultRowHeight="12.75"/>
  <cols>
    <col min="1" max="1" width="10.28515625" style="994" customWidth="1"/>
    <col min="2" max="2" width="39.85546875" style="939" customWidth="1"/>
    <col min="3" max="3" width="21.140625" style="939" customWidth="1"/>
    <col min="4" max="4" width="19.28515625" style="939" customWidth="1"/>
    <col min="5" max="5" width="18.85546875" style="939" customWidth="1"/>
    <col min="6" max="6" width="18" style="939" customWidth="1"/>
    <col min="7" max="7" width="20.28515625" style="939" customWidth="1"/>
    <col min="8" max="8" width="17.140625" style="939" customWidth="1"/>
    <col min="9" max="9" width="16" style="939" customWidth="1"/>
    <col min="10" max="15" width="20.28515625" style="939" customWidth="1"/>
    <col min="16" max="16" width="20" style="939" customWidth="1"/>
    <col min="17" max="18" width="15.140625" style="939" customWidth="1"/>
    <col min="19" max="16384" width="11.42578125" style="939"/>
  </cols>
  <sheetData>
    <row r="1" spans="1:16" ht="15">
      <c r="A1" s="938"/>
    </row>
    <row r="2" spans="1:16" ht="15">
      <c r="A2" s="2441" t="str">
        <f>'PSO TCOS'!F4</f>
        <v xml:space="preserve">AEP West SPP Member Operating Companies </v>
      </c>
      <c r="B2" s="2441"/>
      <c r="C2" s="2441"/>
      <c r="D2" s="2441"/>
      <c r="E2" s="2441"/>
      <c r="F2" s="2441"/>
      <c r="G2" s="2441"/>
      <c r="H2" s="2441"/>
      <c r="I2" s="940"/>
      <c r="J2" s="940"/>
      <c r="K2" s="940"/>
      <c r="L2" s="941"/>
      <c r="M2" s="941"/>
    </row>
    <row r="3" spans="1:16" ht="15">
      <c r="A3" s="2441" t="str">
        <f>"Actual / Projected "&amp;'PSO TCOS'!$N$2&amp;" Rate Year Cost of Service Formula Rate "</f>
        <v xml:space="preserve">Actual / Projected 2018 Rate Year Cost of Service Formula Rate </v>
      </c>
      <c r="B3" s="2441"/>
      <c r="C3" s="2441"/>
      <c r="D3" s="2441"/>
      <c r="E3" s="2441"/>
      <c r="F3" s="2441"/>
      <c r="G3" s="2441"/>
      <c r="H3" s="2441"/>
      <c r="I3" s="940"/>
      <c r="J3" s="940"/>
      <c r="K3" s="940"/>
      <c r="L3" s="941"/>
      <c r="M3" s="941"/>
      <c r="N3" s="941"/>
      <c r="P3" s="942"/>
    </row>
    <row r="4" spans="1:16" ht="15.75">
      <c r="A4" s="2442" t="s">
        <v>1153</v>
      </c>
      <c r="B4" s="2442"/>
      <c r="C4" s="2442"/>
      <c r="D4" s="2442"/>
      <c r="E4" s="2442"/>
      <c r="F4" s="2442"/>
      <c r="G4" s="2442"/>
      <c r="H4" s="2442"/>
      <c r="I4" s="940"/>
      <c r="J4" s="940"/>
      <c r="K4" s="940"/>
      <c r="L4" s="941"/>
      <c r="M4" s="941"/>
      <c r="N4" s="941"/>
    </row>
    <row r="5" spans="1:16" ht="15.75">
      <c r="A5" s="2443" t="str">
        <f>+'PSO TCOS'!$F$8</f>
        <v>PUBLIC SERVICE COMPANY OF OKLAHOMA</v>
      </c>
      <c r="B5" s="2443"/>
      <c r="C5" s="2443"/>
      <c r="D5" s="2443"/>
      <c r="E5" s="2443"/>
      <c r="F5" s="2443"/>
      <c r="G5" s="2443"/>
      <c r="H5" s="2443"/>
      <c r="I5" s="943"/>
      <c r="J5" s="943"/>
      <c r="K5" s="943"/>
      <c r="L5" s="941"/>
      <c r="M5" s="941"/>
      <c r="N5" s="941"/>
    </row>
    <row r="6" spans="1:16">
      <c r="A6" s="941"/>
      <c r="B6" s="944"/>
      <c r="C6" s="944"/>
      <c r="D6" s="944"/>
      <c r="E6" s="944"/>
      <c r="F6" s="944"/>
      <c r="G6" s="944"/>
      <c r="H6" s="944"/>
      <c r="I6" s="945"/>
      <c r="J6" s="946"/>
      <c r="L6" s="946"/>
      <c r="N6" s="946"/>
      <c r="P6" s="946"/>
    </row>
    <row r="7" spans="1:16" ht="12.75" customHeight="1">
      <c r="A7" s="941"/>
      <c r="B7" s="944"/>
      <c r="C7" s="2444" t="s">
        <v>1146</v>
      </c>
      <c r="D7" s="2445"/>
      <c r="E7" s="2445"/>
      <c r="F7" s="2445"/>
      <c r="G7" s="2445"/>
      <c r="H7" s="2446"/>
      <c r="I7" s="700"/>
      <c r="J7" s="700"/>
      <c r="K7" s="700"/>
      <c r="L7" s="700"/>
      <c r="M7" s="700"/>
      <c r="N7" s="700"/>
      <c r="O7" s="700"/>
      <c r="P7" s="947"/>
    </row>
    <row r="8" spans="1:16" s="953" customFormat="1" ht="25.5">
      <c r="A8" s="948" t="s">
        <v>1121</v>
      </c>
      <c r="B8" s="949" t="s">
        <v>1104</v>
      </c>
      <c r="C8" s="950" t="s">
        <v>1122</v>
      </c>
      <c r="D8" s="951" t="s">
        <v>1123</v>
      </c>
      <c r="E8" s="951" t="s">
        <v>257</v>
      </c>
      <c r="F8" s="951" t="s">
        <v>1124</v>
      </c>
      <c r="G8" s="951" t="s">
        <v>1125</v>
      </c>
      <c r="H8" s="952" t="s">
        <v>1126</v>
      </c>
      <c r="I8" s="700"/>
      <c r="J8" s="700"/>
      <c r="K8" s="700"/>
      <c r="L8" s="700"/>
      <c r="M8" s="700"/>
      <c r="N8" s="700"/>
      <c r="O8" s="700"/>
      <c r="P8" s="947"/>
    </row>
    <row r="9" spans="1:16" s="958" customFormat="1">
      <c r="A9" s="954"/>
      <c r="B9" s="955" t="s">
        <v>1130</v>
      </c>
      <c r="C9" s="956" t="s">
        <v>1131</v>
      </c>
      <c r="D9" s="957" t="s">
        <v>1132</v>
      </c>
      <c r="E9" s="957" t="s">
        <v>1133</v>
      </c>
      <c r="F9" s="957" t="s">
        <v>1134</v>
      </c>
      <c r="G9" s="957" t="s">
        <v>1135</v>
      </c>
      <c r="H9" s="955" t="s">
        <v>1136</v>
      </c>
      <c r="I9" s="700"/>
      <c r="J9" s="700"/>
      <c r="K9" s="700"/>
      <c r="L9" s="700"/>
      <c r="M9" s="700"/>
      <c r="N9" s="700"/>
      <c r="O9" s="700"/>
      <c r="P9" s="947"/>
    </row>
    <row r="10" spans="1:16" s="958" customFormat="1" ht="44.25" customHeight="1">
      <c r="A10" s="954"/>
      <c r="B10" s="955"/>
      <c r="C10" s="959" t="s">
        <v>63</v>
      </c>
      <c r="D10" s="960" t="s">
        <v>68</v>
      </c>
      <c r="E10" s="960" t="s">
        <v>64</v>
      </c>
      <c r="F10" s="960" t="s">
        <v>1137</v>
      </c>
      <c r="G10" s="960" t="s">
        <v>65</v>
      </c>
      <c r="H10" s="961" t="s">
        <v>66</v>
      </c>
      <c r="I10" s="700"/>
      <c r="J10" s="700"/>
      <c r="K10" s="700"/>
      <c r="L10" s="700"/>
      <c r="M10" s="700"/>
      <c r="N10" s="700"/>
      <c r="O10" s="700"/>
      <c r="P10" s="947"/>
    </row>
    <row r="11" spans="1:16">
      <c r="A11" s="954">
        <v>1</v>
      </c>
      <c r="B11" s="962" t="s">
        <v>1140</v>
      </c>
      <c r="C11" s="963">
        <v>1568317436</v>
      </c>
      <c r="D11" s="964">
        <f>35771737+23812</f>
        <v>35795549</v>
      </c>
      <c r="E11" s="965">
        <v>858822495</v>
      </c>
      <c r="F11" s="964">
        <v>0</v>
      </c>
      <c r="G11" s="964">
        <v>2444828757</v>
      </c>
      <c r="H11" s="966">
        <v>0</v>
      </c>
      <c r="I11" s="700"/>
      <c r="J11" s="700"/>
      <c r="K11" s="700"/>
      <c r="L11" s="700"/>
      <c r="M11" s="700"/>
      <c r="N11" s="700"/>
      <c r="O11" s="700"/>
      <c r="P11" s="947"/>
    </row>
    <row r="12" spans="1:16">
      <c r="A12" s="954">
        <f>+A11+1</f>
        <v>2</v>
      </c>
      <c r="B12" s="962" t="s">
        <v>324</v>
      </c>
      <c r="C12" s="967"/>
      <c r="D12" s="968"/>
      <c r="E12" s="969"/>
      <c r="F12" s="968"/>
      <c r="G12" s="968"/>
      <c r="H12" s="970"/>
      <c r="I12" s="700"/>
      <c r="J12" s="700"/>
      <c r="K12" s="700"/>
      <c r="L12" s="700"/>
      <c r="M12" s="700"/>
      <c r="N12" s="700"/>
      <c r="O12" s="700"/>
      <c r="P12" s="947"/>
    </row>
    <row r="13" spans="1:16">
      <c r="A13" s="954">
        <f t="shared" ref="A13:A24" si="0">+A12+1</f>
        <v>3</v>
      </c>
      <c r="B13" s="971" t="s">
        <v>517</v>
      </c>
      <c r="C13" s="967"/>
      <c r="D13" s="968"/>
      <c r="E13" s="968"/>
      <c r="F13" s="968"/>
      <c r="G13" s="968"/>
      <c r="H13" s="970"/>
      <c r="I13" s="700"/>
      <c r="J13" s="700"/>
      <c r="K13" s="700"/>
      <c r="L13" s="700"/>
      <c r="M13" s="700"/>
      <c r="N13" s="700"/>
      <c r="O13" s="700"/>
      <c r="P13" s="947"/>
    </row>
    <row r="14" spans="1:16">
      <c r="A14" s="954">
        <f t="shared" si="0"/>
        <v>4</v>
      </c>
      <c r="B14" s="971" t="s">
        <v>1141</v>
      </c>
      <c r="C14" s="967"/>
      <c r="D14" s="968"/>
      <c r="E14" s="968"/>
      <c r="F14" s="968"/>
      <c r="G14" s="968"/>
      <c r="H14" s="970"/>
      <c r="I14" s="700"/>
      <c r="J14" s="700"/>
      <c r="K14" s="700"/>
      <c r="L14" s="700"/>
      <c r="M14" s="700"/>
      <c r="N14" s="700"/>
      <c r="O14" s="700"/>
      <c r="P14" s="947"/>
    </row>
    <row r="15" spans="1:16">
      <c r="A15" s="954">
        <f t="shared" si="0"/>
        <v>5</v>
      </c>
      <c r="B15" s="971" t="s">
        <v>326</v>
      </c>
      <c r="C15" s="967"/>
      <c r="D15" s="968"/>
      <c r="E15" s="968"/>
      <c r="F15" s="968"/>
      <c r="G15" s="968"/>
      <c r="H15" s="970"/>
      <c r="I15" s="700"/>
      <c r="J15" s="700"/>
      <c r="K15" s="700"/>
      <c r="L15" s="700"/>
      <c r="M15" s="700"/>
      <c r="N15" s="700"/>
      <c r="O15" s="700"/>
      <c r="P15" s="947"/>
    </row>
    <row r="16" spans="1:16">
      <c r="A16" s="954">
        <f t="shared" si="0"/>
        <v>6</v>
      </c>
      <c r="B16" s="971" t="s">
        <v>327</v>
      </c>
      <c r="C16" s="967"/>
      <c r="D16" s="968"/>
      <c r="E16" s="968"/>
      <c r="F16" s="968"/>
      <c r="G16" s="968"/>
      <c r="H16" s="970"/>
      <c r="I16" s="700"/>
      <c r="J16" s="700"/>
      <c r="K16" s="700"/>
      <c r="L16" s="700"/>
      <c r="M16" s="700"/>
      <c r="N16" s="700"/>
      <c r="O16" s="700"/>
      <c r="P16" s="947"/>
    </row>
    <row r="17" spans="1:16">
      <c r="A17" s="954">
        <f t="shared" si="0"/>
        <v>7</v>
      </c>
      <c r="B17" s="971" t="s">
        <v>48</v>
      </c>
      <c r="C17" s="967"/>
      <c r="D17" s="968"/>
      <c r="E17" s="968"/>
      <c r="F17" s="968"/>
      <c r="G17" s="968"/>
      <c r="H17" s="970"/>
      <c r="I17" s="700"/>
      <c r="J17" s="700"/>
      <c r="K17" s="700"/>
      <c r="L17" s="700"/>
      <c r="M17" s="700"/>
      <c r="N17" s="700"/>
      <c r="O17" s="700"/>
      <c r="P17" s="947"/>
    </row>
    <row r="18" spans="1:16">
      <c r="A18" s="954">
        <f t="shared" si="0"/>
        <v>8</v>
      </c>
      <c r="B18" s="971" t="s">
        <v>328</v>
      </c>
      <c r="C18" s="967"/>
      <c r="D18" s="968"/>
      <c r="E18" s="968"/>
      <c r="F18" s="968"/>
      <c r="G18" s="968"/>
      <c r="H18" s="970"/>
      <c r="I18" s="700"/>
      <c r="J18" s="700"/>
      <c r="K18" s="700"/>
      <c r="L18" s="700"/>
      <c r="M18" s="700"/>
      <c r="N18" s="700"/>
      <c r="O18" s="700"/>
      <c r="P18" s="947"/>
    </row>
    <row r="19" spans="1:16">
      <c r="A19" s="954">
        <f t="shared" si="0"/>
        <v>9</v>
      </c>
      <c r="B19" s="971" t="s">
        <v>1142</v>
      </c>
      <c r="C19" s="967"/>
      <c r="D19" s="968"/>
      <c r="E19" s="968"/>
      <c r="F19" s="968"/>
      <c r="G19" s="968"/>
      <c r="H19" s="970"/>
      <c r="I19" s="700"/>
      <c r="J19" s="700"/>
      <c r="K19" s="700"/>
      <c r="L19" s="700"/>
      <c r="M19" s="700"/>
      <c r="N19" s="700"/>
      <c r="O19" s="700"/>
      <c r="P19" s="947"/>
    </row>
    <row r="20" spans="1:16">
      <c r="A20" s="954">
        <f t="shared" si="0"/>
        <v>10</v>
      </c>
      <c r="B20" s="971" t="s">
        <v>331</v>
      </c>
      <c r="C20" s="967"/>
      <c r="D20" s="968"/>
      <c r="E20" s="968"/>
      <c r="F20" s="968"/>
      <c r="G20" s="968"/>
      <c r="H20" s="970"/>
      <c r="I20" s="700"/>
      <c r="J20" s="700"/>
      <c r="K20" s="700"/>
      <c r="L20" s="700"/>
      <c r="M20" s="700"/>
      <c r="N20" s="700"/>
      <c r="O20" s="700"/>
      <c r="P20" s="947"/>
    </row>
    <row r="21" spans="1:16">
      <c r="A21" s="954">
        <f t="shared" si="0"/>
        <v>11</v>
      </c>
      <c r="B21" s="971" t="s">
        <v>518</v>
      </c>
      <c r="C21" s="967"/>
      <c r="D21" s="968"/>
      <c r="E21" s="968"/>
      <c r="F21" s="968"/>
      <c r="G21" s="968"/>
      <c r="H21" s="970"/>
      <c r="I21" s="700"/>
      <c r="J21" s="700"/>
      <c r="K21" s="700"/>
      <c r="L21" s="700"/>
      <c r="M21" s="700"/>
      <c r="N21" s="700"/>
      <c r="O21" s="700"/>
      <c r="P21" s="947"/>
    </row>
    <row r="22" spans="1:16">
      <c r="A22" s="954">
        <f t="shared" si="0"/>
        <v>12</v>
      </c>
      <c r="B22" s="971" t="s">
        <v>519</v>
      </c>
      <c r="C22" s="967"/>
      <c r="D22" s="968"/>
      <c r="E22" s="968"/>
      <c r="F22" s="968"/>
      <c r="G22" s="968"/>
      <c r="H22" s="970"/>
      <c r="I22" s="700"/>
      <c r="J22" s="700"/>
      <c r="K22" s="700"/>
      <c r="L22" s="700"/>
      <c r="M22" s="700"/>
      <c r="N22" s="700"/>
      <c r="O22" s="700"/>
      <c r="P22" s="947"/>
    </row>
    <row r="23" spans="1:16">
      <c r="A23" s="972">
        <f t="shared" si="0"/>
        <v>13</v>
      </c>
      <c r="B23" s="973" t="s">
        <v>1143</v>
      </c>
      <c r="C23" s="963">
        <v>1574324664</v>
      </c>
      <c r="D23" s="964">
        <f>25842879+23812</f>
        <v>25866691</v>
      </c>
      <c r="E23" s="964">
        <v>892407778</v>
      </c>
      <c r="F23" s="964">
        <v>0</v>
      </c>
      <c r="G23" s="964">
        <v>2572496140</v>
      </c>
      <c r="H23" s="966">
        <v>0</v>
      </c>
      <c r="I23" s="700"/>
      <c r="J23" s="700"/>
      <c r="K23" s="700"/>
      <c r="L23" s="700"/>
      <c r="M23" s="700"/>
      <c r="N23" s="700"/>
      <c r="O23" s="700"/>
      <c r="P23" s="947"/>
    </row>
    <row r="24" spans="1:16" ht="26.25" thickBot="1">
      <c r="A24" s="974">
        <f t="shared" si="0"/>
        <v>14</v>
      </c>
      <c r="B24" s="975" t="s">
        <v>1387</v>
      </c>
      <c r="C24" s="976">
        <f>+(C11+C23)/2</f>
        <v>1571321050</v>
      </c>
      <c r="D24" s="977">
        <f t="shared" ref="D24:H24" si="1">+(D11+D23)/2</f>
        <v>30831120</v>
      </c>
      <c r="E24" s="977">
        <f t="shared" si="1"/>
        <v>875615136.5</v>
      </c>
      <c r="F24" s="977">
        <f t="shared" si="1"/>
        <v>0</v>
      </c>
      <c r="G24" s="977">
        <f t="shared" si="1"/>
        <v>2508662448.5</v>
      </c>
      <c r="H24" s="978">
        <f t="shared" si="1"/>
        <v>0</v>
      </c>
      <c r="I24" s="700"/>
      <c r="J24" s="700"/>
      <c r="K24" s="700"/>
      <c r="L24" s="700"/>
      <c r="M24" s="700"/>
      <c r="N24" s="700"/>
      <c r="O24" s="700"/>
      <c r="P24" s="947"/>
    </row>
    <row r="25" spans="1:16" ht="13.5" thickTop="1">
      <c r="A25" s="941"/>
      <c r="B25" s="979"/>
      <c r="C25" s="980"/>
      <c r="D25" s="980"/>
      <c r="E25" s="980"/>
      <c r="F25" s="981"/>
      <c r="G25" s="981"/>
      <c r="H25" s="981"/>
      <c r="I25" s="700"/>
      <c r="J25" s="700"/>
      <c r="K25" s="700"/>
      <c r="L25" s="700"/>
      <c r="M25" s="700"/>
      <c r="N25" s="700"/>
      <c r="O25" s="700"/>
      <c r="P25" s="947"/>
    </row>
    <row r="26" spans="1:16" ht="14.25" customHeight="1">
      <c r="A26" s="941"/>
      <c r="B26" s="979"/>
      <c r="C26" s="980"/>
      <c r="D26" s="980"/>
      <c r="E26" s="980"/>
      <c r="F26" s="981"/>
      <c r="G26" s="981"/>
      <c r="H26" s="981"/>
      <c r="I26" s="700"/>
      <c r="J26" s="700"/>
      <c r="K26" s="700"/>
      <c r="L26" s="700"/>
      <c r="M26" s="700"/>
      <c r="N26" s="700"/>
      <c r="O26" s="700"/>
      <c r="P26" s="947"/>
    </row>
    <row r="27" spans="1:16" ht="12.75" customHeight="1">
      <c r="A27" s="941"/>
      <c r="B27" s="944"/>
      <c r="C27" s="2444" t="s">
        <v>1147</v>
      </c>
      <c r="D27" s="2445"/>
      <c r="E27" s="2445"/>
      <c r="F27" s="2445"/>
      <c r="G27" s="2445"/>
      <c r="H27" s="700"/>
      <c r="I27" s="700"/>
      <c r="J27" s="700"/>
      <c r="K27" s="700"/>
      <c r="L27" s="700"/>
      <c r="M27" s="700"/>
      <c r="N27" s="700"/>
      <c r="O27" s="700"/>
      <c r="P27" s="947"/>
    </row>
    <row r="28" spans="1:16" s="953" customFormat="1" ht="25.5">
      <c r="A28" s="948" t="s">
        <v>1121</v>
      </c>
      <c r="B28" s="949" t="s">
        <v>1104</v>
      </c>
      <c r="C28" s="951" t="s">
        <v>1127</v>
      </c>
      <c r="D28" s="951" t="s">
        <v>1128</v>
      </c>
      <c r="E28" s="951" t="s">
        <v>1129</v>
      </c>
      <c r="F28" s="951" t="s">
        <v>1150</v>
      </c>
      <c r="G28" s="952" t="s">
        <v>1151</v>
      </c>
      <c r="J28" s="700"/>
      <c r="K28" s="700"/>
      <c r="L28" s="700"/>
      <c r="M28" s="700"/>
      <c r="N28" s="700"/>
      <c r="O28" s="700"/>
      <c r="P28" s="947"/>
    </row>
    <row r="29" spans="1:16" s="958" customFormat="1">
      <c r="A29" s="954"/>
      <c r="B29" s="955" t="s">
        <v>1130</v>
      </c>
      <c r="C29" s="957" t="s">
        <v>1131</v>
      </c>
      <c r="D29" s="957" t="s">
        <v>1132</v>
      </c>
      <c r="E29" s="957" t="s">
        <v>1133</v>
      </c>
      <c r="F29" s="957" t="s">
        <v>1134</v>
      </c>
      <c r="G29" s="957" t="s">
        <v>1135</v>
      </c>
      <c r="J29" s="700"/>
      <c r="K29" s="700"/>
      <c r="L29" s="700"/>
      <c r="M29" s="700"/>
      <c r="N29" s="700"/>
      <c r="O29" s="700"/>
      <c r="P29" s="947"/>
    </row>
    <row r="30" spans="1:16" s="958" customFormat="1" ht="52.5" customHeight="1">
      <c r="A30" s="954"/>
      <c r="B30" s="955"/>
      <c r="C30" s="982" t="s">
        <v>1138</v>
      </c>
      <c r="D30" s="960" t="s">
        <v>1139</v>
      </c>
      <c r="E30" s="960" t="s">
        <v>67</v>
      </c>
      <c r="F30" s="960" t="s">
        <v>939</v>
      </c>
      <c r="G30" s="961" t="s">
        <v>939</v>
      </c>
      <c r="J30" s="700"/>
      <c r="K30" s="700"/>
      <c r="L30" s="700"/>
      <c r="M30" s="700"/>
      <c r="N30" s="700"/>
      <c r="O30" s="700"/>
      <c r="P30" s="947"/>
    </row>
    <row r="31" spans="1:16">
      <c r="A31" s="954">
        <f>+A24+1</f>
        <v>15</v>
      </c>
      <c r="B31" s="962" t="s">
        <v>1140</v>
      </c>
      <c r="C31" s="983">
        <v>167194469</v>
      </c>
      <c r="D31" s="964">
        <v>556590</v>
      </c>
      <c r="E31" s="983">
        <v>93332262</v>
      </c>
      <c r="F31" s="964">
        <v>23807303</v>
      </c>
      <c r="G31" s="966">
        <v>48397532.110305317</v>
      </c>
      <c r="J31" s="700"/>
      <c r="K31" s="700"/>
      <c r="L31" s="700"/>
      <c r="M31" s="700"/>
      <c r="N31" s="700"/>
      <c r="O31" s="700"/>
      <c r="P31" s="947"/>
    </row>
    <row r="32" spans="1:16">
      <c r="A32" s="954">
        <f>+A31+1</f>
        <v>16</v>
      </c>
      <c r="B32" s="962" t="s">
        <v>324</v>
      </c>
      <c r="C32" s="968"/>
      <c r="D32" s="968"/>
      <c r="E32" s="968"/>
      <c r="F32" s="968"/>
      <c r="G32" s="970"/>
      <c r="J32" s="700"/>
      <c r="K32" s="700"/>
      <c r="L32" s="700"/>
      <c r="M32" s="700"/>
      <c r="N32" s="700"/>
      <c r="O32" s="700"/>
      <c r="P32" s="947"/>
    </row>
    <row r="33" spans="1:16">
      <c r="A33" s="954">
        <f t="shared" ref="A33:A44" si="2">+A32+1</f>
        <v>17</v>
      </c>
      <c r="B33" s="971" t="s">
        <v>517</v>
      </c>
      <c r="C33" s="968"/>
      <c r="D33" s="968"/>
      <c r="E33" s="968"/>
      <c r="F33" s="968"/>
      <c r="G33" s="970"/>
      <c r="J33" s="700"/>
      <c r="K33" s="700"/>
      <c r="L33" s="700"/>
      <c r="M33" s="700"/>
      <c r="N33" s="700"/>
      <c r="O33" s="700"/>
      <c r="P33" s="947"/>
    </row>
    <row r="34" spans="1:16">
      <c r="A34" s="954">
        <f t="shared" si="2"/>
        <v>18</v>
      </c>
      <c r="B34" s="971" t="s">
        <v>1141</v>
      </c>
      <c r="C34" s="968"/>
      <c r="D34" s="968"/>
      <c r="E34" s="968"/>
      <c r="F34" s="968"/>
      <c r="G34" s="970"/>
      <c r="J34" s="700"/>
      <c r="K34" s="700"/>
      <c r="L34" s="700"/>
      <c r="M34" s="700"/>
      <c r="N34" s="700"/>
      <c r="O34" s="700"/>
      <c r="P34" s="947"/>
    </row>
    <row r="35" spans="1:16">
      <c r="A35" s="954">
        <f t="shared" si="2"/>
        <v>19</v>
      </c>
      <c r="B35" s="971" t="s">
        <v>326</v>
      </c>
      <c r="C35" s="968"/>
      <c r="D35" s="968"/>
      <c r="E35" s="968"/>
      <c r="F35" s="968"/>
      <c r="G35" s="970"/>
      <c r="J35" s="700"/>
      <c r="K35" s="700"/>
      <c r="L35" s="700"/>
      <c r="M35" s="700"/>
      <c r="N35" s="700"/>
      <c r="O35" s="700"/>
      <c r="P35" s="947"/>
    </row>
    <row r="36" spans="1:16">
      <c r="A36" s="954">
        <f t="shared" si="2"/>
        <v>20</v>
      </c>
      <c r="B36" s="971" t="s">
        <v>327</v>
      </c>
      <c r="C36" s="968"/>
      <c r="D36" s="968"/>
      <c r="E36" s="968"/>
      <c r="F36" s="968"/>
      <c r="G36" s="970"/>
      <c r="J36" s="700"/>
      <c r="K36" s="700"/>
      <c r="L36" s="700"/>
      <c r="M36" s="700"/>
      <c r="N36" s="700"/>
      <c r="O36" s="700"/>
      <c r="P36" s="947"/>
    </row>
    <row r="37" spans="1:16">
      <c r="A37" s="954">
        <f t="shared" si="2"/>
        <v>21</v>
      </c>
      <c r="B37" s="971" t="s">
        <v>48</v>
      </c>
      <c r="C37" s="968"/>
      <c r="D37" s="968"/>
      <c r="E37" s="968"/>
      <c r="F37" s="968"/>
      <c r="G37" s="970"/>
      <c r="J37" s="700"/>
      <c r="K37" s="700"/>
      <c r="L37" s="700"/>
      <c r="M37" s="700"/>
      <c r="N37" s="700"/>
      <c r="O37" s="700"/>
      <c r="P37" s="947"/>
    </row>
    <row r="38" spans="1:16">
      <c r="A38" s="954">
        <f t="shared" si="2"/>
        <v>22</v>
      </c>
      <c r="B38" s="971" t="s">
        <v>328</v>
      </c>
      <c r="C38" s="968"/>
      <c r="D38" s="968"/>
      <c r="E38" s="968"/>
      <c r="F38" s="968"/>
      <c r="G38" s="970"/>
      <c r="J38" s="700"/>
      <c r="K38" s="700"/>
      <c r="L38" s="700"/>
      <c r="M38" s="700"/>
      <c r="N38" s="700"/>
      <c r="O38" s="700"/>
      <c r="P38" s="947"/>
    </row>
    <row r="39" spans="1:16">
      <c r="A39" s="954">
        <f t="shared" si="2"/>
        <v>23</v>
      </c>
      <c r="B39" s="971" t="s">
        <v>1142</v>
      </c>
      <c r="C39" s="968"/>
      <c r="D39" s="968"/>
      <c r="E39" s="968"/>
      <c r="F39" s="968"/>
      <c r="G39" s="970"/>
      <c r="J39" s="700"/>
      <c r="K39" s="700"/>
      <c r="L39" s="700"/>
      <c r="M39" s="700"/>
      <c r="N39" s="700"/>
      <c r="O39" s="700"/>
      <c r="P39" s="947"/>
    </row>
    <row r="40" spans="1:16">
      <c r="A40" s="954">
        <f t="shared" si="2"/>
        <v>24</v>
      </c>
      <c r="B40" s="971" t="s">
        <v>331</v>
      </c>
      <c r="C40" s="968"/>
      <c r="D40" s="968"/>
      <c r="E40" s="968"/>
      <c r="F40" s="968"/>
      <c r="G40" s="970"/>
      <c r="J40" s="700"/>
      <c r="K40" s="700"/>
      <c r="L40" s="700"/>
      <c r="M40" s="700"/>
      <c r="N40" s="700"/>
      <c r="O40" s="700"/>
      <c r="P40" s="947"/>
    </row>
    <row r="41" spans="1:16">
      <c r="A41" s="954">
        <f t="shared" si="2"/>
        <v>25</v>
      </c>
      <c r="B41" s="971" t="s">
        <v>518</v>
      </c>
      <c r="C41" s="968"/>
      <c r="D41" s="968"/>
      <c r="E41" s="968"/>
      <c r="F41" s="968"/>
      <c r="G41" s="970"/>
      <c r="J41" s="700"/>
      <c r="K41" s="700"/>
      <c r="L41" s="700"/>
      <c r="M41" s="700"/>
      <c r="N41" s="700"/>
      <c r="O41" s="700"/>
      <c r="P41" s="947"/>
    </row>
    <row r="42" spans="1:16">
      <c r="A42" s="954">
        <f t="shared" si="2"/>
        <v>26</v>
      </c>
      <c r="B42" s="971" t="s">
        <v>519</v>
      </c>
      <c r="C42" s="968"/>
      <c r="D42" s="968"/>
      <c r="E42" s="968"/>
      <c r="F42" s="968"/>
      <c r="G42" s="970"/>
      <c r="J42" s="700"/>
      <c r="K42" s="700"/>
      <c r="L42" s="700"/>
      <c r="M42" s="700"/>
      <c r="N42" s="700"/>
      <c r="O42" s="700"/>
      <c r="P42" s="947"/>
    </row>
    <row r="43" spans="1:16">
      <c r="A43" s="972">
        <f t="shared" si="2"/>
        <v>27</v>
      </c>
      <c r="B43" s="973" t="s">
        <v>1143</v>
      </c>
      <c r="C43" s="964">
        <v>165387603</v>
      </c>
      <c r="D43" s="964">
        <v>572169</v>
      </c>
      <c r="E43" s="964">
        <v>111584573</v>
      </c>
      <c r="F43" s="964">
        <v>24184282</v>
      </c>
      <c r="G43" s="966">
        <v>49567326.965076014</v>
      </c>
      <c r="J43" s="700"/>
      <c r="K43" s="700"/>
      <c r="L43" s="700"/>
      <c r="M43" s="700"/>
      <c r="N43" s="700"/>
      <c r="O43" s="700"/>
      <c r="P43" s="947"/>
    </row>
    <row r="44" spans="1:16" ht="26.25" thickBot="1">
      <c r="A44" s="974">
        <f t="shared" si="2"/>
        <v>28</v>
      </c>
      <c r="B44" s="975" t="s">
        <v>1387</v>
      </c>
      <c r="C44" s="977">
        <f t="shared" ref="C44" si="3">+(C31+C43)/2</f>
        <v>166291036</v>
      </c>
      <c r="D44" s="977">
        <f t="shared" ref="D44" si="4">+(D31+D43)/2</f>
        <v>564379.5</v>
      </c>
      <c r="E44" s="977">
        <f t="shared" ref="E44" si="5">+(E31+E43)/2</f>
        <v>102458417.5</v>
      </c>
      <c r="F44" s="977">
        <f t="shared" ref="F44" si="6">+(F31+F43)/2</f>
        <v>23995792.5</v>
      </c>
      <c r="G44" s="978">
        <f t="shared" ref="G44" si="7">+(G31+G43)/2</f>
        <v>48982429.537690669</v>
      </c>
      <c r="J44" s="700"/>
      <c r="K44" s="700"/>
      <c r="L44" s="700"/>
      <c r="M44" s="700"/>
      <c r="N44" s="700"/>
      <c r="O44" s="700"/>
      <c r="P44" s="947"/>
    </row>
    <row r="45" spans="1:16" ht="13.5" thickTop="1">
      <c r="A45" s="941"/>
      <c r="B45" s="979"/>
      <c r="C45" s="980"/>
      <c r="D45" s="980"/>
      <c r="E45" s="980"/>
      <c r="F45" s="981"/>
      <c r="G45" s="981"/>
      <c r="H45" s="700"/>
      <c r="I45" s="700"/>
      <c r="J45" s="700"/>
      <c r="K45" s="700"/>
      <c r="L45" s="700"/>
      <c r="M45" s="700"/>
      <c r="N45" s="700"/>
      <c r="O45" s="700"/>
      <c r="P45" s="947"/>
    </row>
    <row r="46" spans="1:16">
      <c r="A46" s="941"/>
      <c r="C46" s="980"/>
      <c r="D46" s="980"/>
      <c r="E46" s="980"/>
      <c r="F46" s="981"/>
      <c r="G46" s="981"/>
      <c r="H46" s="981"/>
      <c r="I46" s="981"/>
      <c r="J46" s="981"/>
      <c r="K46" s="980"/>
      <c r="L46" s="980"/>
      <c r="M46" s="980"/>
      <c r="N46" s="984"/>
      <c r="O46" s="984"/>
      <c r="P46" s="947"/>
    </row>
    <row r="47" spans="1:16">
      <c r="A47" s="941"/>
      <c r="B47" s="985" t="s">
        <v>1169</v>
      </c>
      <c r="C47" s="980"/>
      <c r="D47" s="980"/>
      <c r="E47" s="980"/>
      <c r="F47" s="981"/>
      <c r="G47" s="981"/>
      <c r="H47" s="981"/>
      <c r="I47" s="981"/>
      <c r="J47" s="981"/>
      <c r="K47" s="980"/>
      <c r="L47" s="980"/>
      <c r="M47" s="980"/>
      <c r="N47" s="984"/>
      <c r="O47" s="984"/>
      <c r="P47" s="947"/>
    </row>
    <row r="48" spans="1:16" ht="25.5">
      <c r="A48" s="986" t="s">
        <v>1121</v>
      </c>
      <c r="B48" s="987" t="s">
        <v>1155</v>
      </c>
      <c r="C48" s="2439" t="s">
        <v>1156</v>
      </c>
      <c r="D48" s="2439"/>
      <c r="E48" s="2439"/>
      <c r="F48" s="988" t="s">
        <v>1157</v>
      </c>
      <c r="G48" s="988" t="str">
        <f>'PSO TCOS'!N2&amp;" Rate Year Beginning balance"</f>
        <v>2018 Rate Year Beginning balance</v>
      </c>
      <c r="H48" s="988" t="str">
        <f>'PSO TCOS'!N2&amp;" Rate Year Ending balance"</f>
        <v>2018 Rate Year Ending balance</v>
      </c>
      <c r="I48" s="951" t="str">
        <f>'PSO TCOS'!N2&amp;" Rate Year Average"</f>
        <v>2018 Rate Year Average</v>
      </c>
      <c r="J48" s="981"/>
      <c r="K48" s="980"/>
      <c r="L48" s="980"/>
      <c r="M48" s="980"/>
      <c r="N48" s="984"/>
      <c r="O48" s="984"/>
      <c r="P48" s="947"/>
    </row>
    <row r="49" spans="1:16">
      <c r="A49" s="941"/>
      <c r="B49" s="957" t="s">
        <v>1130</v>
      </c>
      <c r="C49" s="2440" t="s">
        <v>1131</v>
      </c>
      <c r="D49" s="2440"/>
      <c r="E49" s="2440"/>
      <c r="F49" s="957" t="s">
        <v>1132</v>
      </c>
      <c r="G49" s="957" t="s">
        <v>1133</v>
      </c>
      <c r="H49" s="957" t="s">
        <v>1134</v>
      </c>
      <c r="I49" s="989" t="s">
        <v>1135</v>
      </c>
      <c r="J49" s="981"/>
      <c r="K49" s="980"/>
      <c r="L49" s="980"/>
      <c r="M49" s="980"/>
      <c r="N49" s="984"/>
      <c r="O49" s="984"/>
      <c r="P49" s="947"/>
    </row>
    <row r="50" spans="1:16">
      <c r="A50" s="990" t="str">
        <f>+A$44+1&amp;"A"</f>
        <v>29A</v>
      </c>
      <c r="B50" s="964" t="s">
        <v>1516</v>
      </c>
      <c r="C50" s="964"/>
      <c r="D50" s="964"/>
      <c r="E50" s="964"/>
      <c r="F50" s="991"/>
      <c r="G50" s="964">
        <v>302647</v>
      </c>
      <c r="H50" s="964">
        <v>302647</v>
      </c>
      <c r="I50" s="964">
        <f>(G50+H50)/2</f>
        <v>302647</v>
      </c>
    </row>
    <row r="51" spans="1:16">
      <c r="A51" s="990" t="str">
        <f>+A$44+1&amp;"B"</f>
        <v>29B</v>
      </c>
      <c r="B51" s="964" t="s">
        <v>1517</v>
      </c>
      <c r="C51" s="964"/>
      <c r="D51" s="964"/>
      <c r="E51" s="964"/>
      <c r="F51" s="991"/>
      <c r="G51" s="964">
        <v>0</v>
      </c>
      <c r="H51" s="964">
        <v>0</v>
      </c>
      <c r="I51" s="964">
        <f t="shared" ref="I51:I52" si="8">(G51+H51)/2</f>
        <v>0</v>
      </c>
    </row>
    <row r="52" spans="1:16">
      <c r="A52" s="990" t="str">
        <f>+A$44+1&amp;"C"</f>
        <v>29C</v>
      </c>
      <c r="B52" s="964"/>
      <c r="C52" s="964"/>
      <c r="D52" s="964"/>
      <c r="E52" s="964"/>
      <c r="F52" s="964"/>
      <c r="G52" s="964"/>
      <c r="H52" s="964"/>
      <c r="I52" s="964">
        <f t="shared" si="8"/>
        <v>0</v>
      </c>
    </row>
    <row r="53" spans="1:16" ht="13.5" thickBot="1">
      <c r="A53" s="990">
        <f>+A44+2</f>
        <v>30</v>
      </c>
      <c r="B53" s="992" t="s">
        <v>1160</v>
      </c>
      <c r="C53" s="992"/>
      <c r="D53" s="992"/>
      <c r="E53" s="992"/>
      <c r="F53" s="992"/>
      <c r="G53" s="993">
        <f>+SUM(G50:G52)</f>
        <v>302647</v>
      </c>
      <c r="H53" s="993">
        <f>+SUM(H50:H52)</f>
        <v>302647</v>
      </c>
      <c r="I53" s="993">
        <f>+SUM(I50:I52)</f>
        <v>302647</v>
      </c>
    </row>
    <row r="54" spans="1:16" ht="13.5" thickTop="1"/>
    <row r="55" spans="1:16">
      <c r="A55" s="995" t="s">
        <v>1168</v>
      </c>
    </row>
    <row r="56" spans="1:16">
      <c r="A56" s="990" t="s">
        <v>303</v>
      </c>
      <c r="B56" s="939" t="s">
        <v>1171</v>
      </c>
    </row>
    <row r="57" spans="1:16">
      <c r="A57" s="941" t="s">
        <v>304</v>
      </c>
      <c r="B57" s="996" t="s">
        <v>1170</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7" zoomScaleNormal="100" zoomScaleSheetLayoutView="70" zoomScalePageLayoutView="80" workbookViewId="0">
      <selection activeCell="A7" sqref="A1:XFD1048576"/>
    </sheetView>
  </sheetViews>
  <sheetFormatPr defaultColWidth="11.42578125" defaultRowHeight="12.75"/>
  <cols>
    <col min="1" max="1" width="10.28515625" style="994" customWidth="1"/>
    <col min="2" max="2" width="39.85546875" style="939" customWidth="1"/>
    <col min="3" max="3" width="21.140625" style="939" customWidth="1"/>
    <col min="4" max="4" width="19.28515625" style="939" customWidth="1"/>
    <col min="5" max="5" width="18.85546875" style="939" customWidth="1"/>
    <col min="6" max="6" width="18" style="939" customWidth="1"/>
    <col min="7" max="7" width="16.5703125" style="939" customWidth="1"/>
    <col min="8" max="8" width="17.140625" style="939" customWidth="1"/>
    <col min="9" max="9" width="15.28515625" style="939" customWidth="1"/>
    <col min="10" max="15" width="20.28515625" style="939" customWidth="1"/>
    <col min="16" max="16" width="20" style="939" customWidth="1"/>
    <col min="17" max="18" width="15.140625" style="939" customWidth="1"/>
    <col min="19" max="16384" width="11.42578125" style="939"/>
  </cols>
  <sheetData>
    <row r="1" spans="1:16" ht="15">
      <c r="A1" s="938"/>
    </row>
    <row r="2" spans="1:16" ht="15">
      <c r="A2" s="2441" t="str">
        <f>'PSO TCOS'!F4</f>
        <v xml:space="preserve">AEP West SPP Member Operating Companies </v>
      </c>
      <c r="B2" s="2441"/>
      <c r="C2" s="2441"/>
      <c r="D2" s="2441"/>
      <c r="E2" s="2441"/>
      <c r="F2" s="2441"/>
      <c r="G2" s="2441"/>
      <c r="H2" s="2441"/>
      <c r="I2" s="940"/>
      <c r="J2" s="940"/>
      <c r="K2" s="940"/>
      <c r="L2" s="941"/>
      <c r="M2" s="941"/>
    </row>
    <row r="3" spans="1:16" ht="15">
      <c r="A3" s="2441" t="str">
        <f>"Actual / Projected "&amp;'PSO TCOS'!$N$2&amp;" Rate Year Cost of Service Formula Rate "</f>
        <v xml:space="preserve">Actual / Projected 2018 Rate Year Cost of Service Formula Rate </v>
      </c>
      <c r="B3" s="2441"/>
      <c r="C3" s="2441"/>
      <c r="D3" s="2441"/>
      <c r="E3" s="2441"/>
      <c r="F3" s="2441"/>
      <c r="G3" s="2441"/>
      <c r="H3" s="2441"/>
      <c r="I3" s="940"/>
      <c r="J3" s="940"/>
      <c r="K3" s="940"/>
      <c r="L3" s="941"/>
      <c r="M3" s="941"/>
      <c r="N3" s="941"/>
      <c r="P3" s="942"/>
    </row>
    <row r="4" spans="1:16" ht="15.75">
      <c r="A4" s="2442" t="s">
        <v>1152</v>
      </c>
      <c r="B4" s="2442"/>
      <c r="C4" s="2442"/>
      <c r="D4" s="2442"/>
      <c r="E4" s="2442"/>
      <c r="F4" s="2442"/>
      <c r="G4" s="2442"/>
      <c r="H4" s="2442"/>
      <c r="I4" s="940"/>
      <c r="J4" s="940"/>
      <c r="K4" s="940"/>
      <c r="L4" s="941"/>
      <c r="M4" s="941"/>
      <c r="N4" s="941"/>
    </row>
    <row r="5" spans="1:16" ht="15.75">
      <c r="A5" s="2443" t="str">
        <f>+'PSO TCOS'!$F$8</f>
        <v>PUBLIC SERVICE COMPANY OF OKLAHOMA</v>
      </c>
      <c r="B5" s="2443"/>
      <c r="C5" s="2443"/>
      <c r="D5" s="2443"/>
      <c r="E5" s="2443"/>
      <c r="F5" s="2443"/>
      <c r="G5" s="2443"/>
      <c r="H5" s="2443"/>
      <c r="I5" s="943"/>
      <c r="J5" s="943"/>
      <c r="K5" s="943"/>
      <c r="L5" s="941"/>
      <c r="M5" s="941"/>
      <c r="N5" s="941"/>
    </row>
    <row r="6" spans="1:16">
      <c r="A6" s="941"/>
      <c r="B6" s="944"/>
      <c r="C6" s="944"/>
      <c r="D6" s="944"/>
      <c r="E6" s="944"/>
      <c r="F6" s="944"/>
      <c r="G6" s="944"/>
      <c r="H6" s="944"/>
      <c r="I6" s="945"/>
      <c r="J6" s="946"/>
      <c r="L6" s="946"/>
      <c r="N6" s="946"/>
      <c r="P6" s="946"/>
    </row>
    <row r="7" spans="1:16" ht="12.75" customHeight="1">
      <c r="A7" s="941"/>
      <c r="B7" s="944"/>
      <c r="C7" s="2444" t="s">
        <v>1149</v>
      </c>
      <c r="D7" s="2445"/>
      <c r="E7" s="2445"/>
      <c r="F7" s="2445"/>
      <c r="G7" s="2445"/>
      <c r="H7" s="2446"/>
      <c r="I7" s="700"/>
      <c r="J7" s="700"/>
      <c r="K7" s="700"/>
      <c r="L7" s="700"/>
      <c r="M7" s="700"/>
      <c r="N7" s="700"/>
      <c r="O7" s="700"/>
      <c r="P7" s="947"/>
    </row>
    <row r="8" spans="1:16" s="953" customFormat="1" ht="56.25" customHeight="1">
      <c r="A8" s="948" t="s">
        <v>1121</v>
      </c>
      <c r="B8" s="949" t="s">
        <v>1104</v>
      </c>
      <c r="C8" s="951" t="s">
        <v>1122</v>
      </c>
      <c r="D8" s="951" t="s">
        <v>1123</v>
      </c>
      <c r="E8" s="951" t="s">
        <v>257</v>
      </c>
      <c r="F8" s="951" t="s">
        <v>1124</v>
      </c>
      <c r="G8" s="951" t="s">
        <v>1125</v>
      </c>
      <c r="H8" s="951" t="s">
        <v>1126</v>
      </c>
      <c r="I8" s="700"/>
      <c r="J8" s="700"/>
      <c r="K8" s="700"/>
      <c r="L8" s="700"/>
      <c r="M8" s="700"/>
      <c r="N8" s="700"/>
      <c r="O8" s="700"/>
      <c r="P8" s="947"/>
    </row>
    <row r="9" spans="1:16" s="958" customFormat="1">
      <c r="A9" s="954"/>
      <c r="B9" s="955" t="s">
        <v>1130</v>
      </c>
      <c r="C9" s="957" t="s">
        <v>1131</v>
      </c>
      <c r="D9" s="957" t="s">
        <v>1132</v>
      </c>
      <c r="E9" s="957" t="s">
        <v>1133</v>
      </c>
      <c r="F9" s="957" t="s">
        <v>1134</v>
      </c>
      <c r="G9" s="957" t="s">
        <v>1135</v>
      </c>
      <c r="H9" s="957" t="s">
        <v>1136</v>
      </c>
      <c r="I9" s="700"/>
      <c r="J9" s="700"/>
      <c r="K9" s="700"/>
      <c r="L9" s="700"/>
      <c r="M9" s="700"/>
      <c r="N9" s="700"/>
      <c r="O9" s="700"/>
      <c r="P9" s="947"/>
    </row>
    <row r="10" spans="1:16" s="958" customFormat="1" ht="44.25" customHeight="1">
      <c r="A10" s="954"/>
      <c r="B10" s="955"/>
      <c r="C10" s="960" t="s">
        <v>21</v>
      </c>
      <c r="D10" s="960" t="s">
        <v>1144</v>
      </c>
      <c r="E10" s="960" t="s">
        <v>22</v>
      </c>
      <c r="F10" s="960" t="s">
        <v>1144</v>
      </c>
      <c r="G10" s="960" t="s">
        <v>183</v>
      </c>
      <c r="H10" s="960" t="s">
        <v>1144</v>
      </c>
      <c r="I10" s="700"/>
      <c r="J10" s="700"/>
      <c r="K10" s="700"/>
      <c r="L10" s="700"/>
      <c r="M10" s="700"/>
      <c r="N10" s="700"/>
      <c r="O10" s="700"/>
      <c r="P10" s="947"/>
    </row>
    <row r="11" spans="1:16">
      <c r="A11" s="954">
        <v>1</v>
      </c>
      <c r="B11" s="962" t="s">
        <v>1140</v>
      </c>
      <c r="C11" s="964">
        <f>573739176+50741013</f>
        <v>624480189</v>
      </c>
      <c r="D11" s="964">
        <v>7648178</v>
      </c>
      <c r="E11" s="964">
        <v>204435442</v>
      </c>
      <c r="F11" s="964">
        <v>0</v>
      </c>
      <c r="G11" s="964">
        <v>587879888</v>
      </c>
      <c r="H11" s="964">
        <v>0</v>
      </c>
      <c r="I11" s="700"/>
      <c r="J11" s="700"/>
      <c r="K11" s="700"/>
      <c r="L11" s="700"/>
      <c r="M11" s="700"/>
      <c r="N11" s="700"/>
      <c r="O11" s="700"/>
      <c r="P11" s="947"/>
    </row>
    <row r="12" spans="1:16">
      <c r="A12" s="954">
        <f>+A11+1</f>
        <v>2</v>
      </c>
      <c r="B12" s="962" t="s">
        <v>324</v>
      </c>
      <c r="C12" s="968"/>
      <c r="D12" s="968"/>
      <c r="E12" s="968"/>
      <c r="F12" s="968"/>
      <c r="G12" s="968"/>
      <c r="H12" s="968"/>
      <c r="I12" s="700"/>
      <c r="J12" s="700"/>
      <c r="K12" s="700"/>
      <c r="L12" s="700"/>
      <c r="M12" s="700"/>
      <c r="N12" s="700"/>
      <c r="O12" s="700"/>
      <c r="P12" s="947"/>
    </row>
    <row r="13" spans="1:16">
      <c r="A13" s="954">
        <f t="shared" ref="A13:A24" si="0">+A12+1</f>
        <v>3</v>
      </c>
      <c r="B13" s="971" t="s">
        <v>517</v>
      </c>
      <c r="C13" s="968"/>
      <c r="D13" s="968"/>
      <c r="E13" s="968"/>
      <c r="F13" s="968"/>
      <c r="G13" s="968"/>
      <c r="H13" s="968"/>
      <c r="I13" s="700"/>
      <c r="J13" s="700"/>
      <c r="K13" s="700"/>
      <c r="L13" s="700"/>
      <c r="M13" s="700"/>
      <c r="N13" s="700"/>
      <c r="O13" s="700"/>
      <c r="P13" s="947"/>
    </row>
    <row r="14" spans="1:16">
      <c r="A14" s="954">
        <f t="shared" si="0"/>
        <v>4</v>
      </c>
      <c r="B14" s="971" t="s">
        <v>1141</v>
      </c>
      <c r="C14" s="968"/>
      <c r="D14" s="968"/>
      <c r="E14" s="968"/>
      <c r="F14" s="968"/>
      <c r="G14" s="968"/>
      <c r="H14" s="968"/>
      <c r="I14" s="700"/>
      <c r="J14" s="700"/>
      <c r="K14" s="700"/>
      <c r="L14" s="700"/>
      <c r="M14" s="700"/>
      <c r="N14" s="700"/>
      <c r="O14" s="700"/>
      <c r="P14" s="947"/>
    </row>
    <row r="15" spans="1:16">
      <c r="A15" s="954">
        <f t="shared" si="0"/>
        <v>5</v>
      </c>
      <c r="B15" s="971" t="s">
        <v>326</v>
      </c>
      <c r="C15" s="968"/>
      <c r="D15" s="968"/>
      <c r="E15" s="968"/>
      <c r="F15" s="968"/>
      <c r="G15" s="968"/>
      <c r="H15" s="968"/>
      <c r="I15" s="700"/>
      <c r="J15" s="700"/>
      <c r="K15" s="700"/>
      <c r="L15" s="700"/>
      <c r="M15" s="700"/>
      <c r="N15" s="700"/>
      <c r="O15" s="700"/>
      <c r="P15" s="947"/>
    </row>
    <row r="16" spans="1:16">
      <c r="A16" s="954">
        <f t="shared" si="0"/>
        <v>6</v>
      </c>
      <c r="B16" s="971" t="s">
        <v>327</v>
      </c>
      <c r="C16" s="968"/>
      <c r="D16" s="968"/>
      <c r="E16" s="968"/>
      <c r="F16" s="968"/>
      <c r="G16" s="968"/>
      <c r="H16" s="968"/>
      <c r="I16" s="700"/>
      <c r="J16" s="700"/>
      <c r="K16" s="700"/>
      <c r="L16" s="700"/>
      <c r="M16" s="700"/>
      <c r="N16" s="700"/>
      <c r="O16" s="700"/>
      <c r="P16" s="947"/>
    </row>
    <row r="17" spans="1:16">
      <c r="A17" s="954">
        <f t="shared" si="0"/>
        <v>7</v>
      </c>
      <c r="B17" s="971" t="s">
        <v>48</v>
      </c>
      <c r="C17" s="968"/>
      <c r="D17" s="968"/>
      <c r="E17" s="968"/>
      <c r="F17" s="968"/>
      <c r="G17" s="968"/>
      <c r="H17" s="968"/>
      <c r="I17" s="700"/>
      <c r="J17" s="700"/>
      <c r="K17" s="700"/>
      <c r="L17" s="700"/>
      <c r="M17" s="700"/>
      <c r="N17" s="700"/>
      <c r="O17" s="700"/>
      <c r="P17" s="947"/>
    </row>
    <row r="18" spans="1:16">
      <c r="A18" s="954">
        <f t="shared" si="0"/>
        <v>8</v>
      </c>
      <c r="B18" s="971" t="s">
        <v>328</v>
      </c>
      <c r="C18" s="968"/>
      <c r="D18" s="968"/>
      <c r="E18" s="968"/>
      <c r="F18" s="968"/>
      <c r="G18" s="968"/>
      <c r="H18" s="968"/>
      <c r="I18" s="700"/>
      <c r="J18" s="700"/>
      <c r="K18" s="700"/>
      <c r="L18" s="700"/>
      <c r="M18" s="700"/>
      <c r="N18" s="700"/>
      <c r="O18" s="700"/>
      <c r="P18" s="947"/>
    </row>
    <row r="19" spans="1:16">
      <c r="A19" s="954">
        <f t="shared" si="0"/>
        <v>9</v>
      </c>
      <c r="B19" s="971" t="s">
        <v>1142</v>
      </c>
      <c r="C19" s="968"/>
      <c r="D19" s="968"/>
      <c r="E19" s="968"/>
      <c r="F19" s="968"/>
      <c r="G19" s="968"/>
      <c r="H19" s="968"/>
      <c r="I19" s="700"/>
      <c r="J19" s="700"/>
      <c r="K19" s="700"/>
      <c r="L19" s="700"/>
      <c r="M19" s="700"/>
      <c r="N19" s="700"/>
      <c r="O19" s="700"/>
      <c r="P19" s="947"/>
    </row>
    <row r="20" spans="1:16">
      <c r="A20" s="954">
        <f t="shared" si="0"/>
        <v>10</v>
      </c>
      <c r="B20" s="971" t="s">
        <v>331</v>
      </c>
      <c r="C20" s="968"/>
      <c r="D20" s="968"/>
      <c r="E20" s="968"/>
      <c r="F20" s="968"/>
      <c r="G20" s="968"/>
      <c r="H20" s="968"/>
      <c r="I20" s="700"/>
      <c r="J20" s="700"/>
      <c r="K20" s="700"/>
      <c r="L20" s="700"/>
      <c r="M20" s="700"/>
      <c r="N20" s="700"/>
      <c r="O20" s="700"/>
      <c r="P20" s="947"/>
    </row>
    <row r="21" spans="1:16">
      <c r="A21" s="954">
        <f t="shared" si="0"/>
        <v>11</v>
      </c>
      <c r="B21" s="971" t="s">
        <v>518</v>
      </c>
      <c r="C21" s="968"/>
      <c r="D21" s="968"/>
      <c r="E21" s="968"/>
      <c r="F21" s="968"/>
      <c r="G21" s="968"/>
      <c r="H21" s="968"/>
      <c r="I21" s="700"/>
      <c r="J21" s="700"/>
      <c r="K21" s="700"/>
      <c r="L21" s="700"/>
      <c r="M21" s="700"/>
      <c r="N21" s="700"/>
      <c r="O21" s="700"/>
      <c r="P21" s="947"/>
    </row>
    <row r="22" spans="1:16">
      <c r="A22" s="954">
        <f t="shared" si="0"/>
        <v>12</v>
      </c>
      <c r="B22" s="971" t="s">
        <v>519</v>
      </c>
      <c r="C22" s="968"/>
      <c r="D22" s="968"/>
      <c r="E22" s="968"/>
      <c r="F22" s="968"/>
      <c r="G22" s="968"/>
      <c r="H22" s="968"/>
      <c r="I22" s="700"/>
      <c r="J22" s="700"/>
      <c r="K22" s="700"/>
      <c r="L22" s="700"/>
      <c r="M22" s="700"/>
      <c r="N22" s="700"/>
      <c r="O22" s="700"/>
      <c r="P22" s="947"/>
    </row>
    <row r="23" spans="1:16">
      <c r="A23" s="972">
        <f t="shared" si="0"/>
        <v>13</v>
      </c>
      <c r="B23" s="997" t="s">
        <v>1143</v>
      </c>
      <c r="C23" s="964">
        <f>55157085+688628216</f>
        <v>743785301</v>
      </c>
      <c r="D23" s="964">
        <v>8895984</v>
      </c>
      <c r="E23" s="964">
        <v>211959138</v>
      </c>
      <c r="F23" s="964">
        <v>0</v>
      </c>
      <c r="G23" s="964">
        <v>615742634</v>
      </c>
      <c r="H23" s="964">
        <v>0</v>
      </c>
      <c r="I23" s="700"/>
      <c r="J23" s="700"/>
      <c r="K23" s="700"/>
      <c r="L23" s="700"/>
      <c r="M23" s="700"/>
      <c r="N23" s="700"/>
      <c r="O23" s="700"/>
      <c r="P23" s="947"/>
    </row>
    <row r="24" spans="1:16" ht="26.25" thickBot="1">
      <c r="A24" s="974">
        <f t="shared" si="0"/>
        <v>14</v>
      </c>
      <c r="B24" s="975" t="s">
        <v>1387</v>
      </c>
      <c r="C24" s="977">
        <f t="shared" ref="C24:H24" si="1">+(C11+C23)/2</f>
        <v>684132745</v>
      </c>
      <c r="D24" s="977">
        <f t="shared" si="1"/>
        <v>8272081</v>
      </c>
      <c r="E24" s="977">
        <f t="shared" si="1"/>
        <v>208197290</v>
      </c>
      <c r="F24" s="977">
        <f t="shared" si="1"/>
        <v>0</v>
      </c>
      <c r="G24" s="977">
        <f t="shared" si="1"/>
        <v>601811261</v>
      </c>
      <c r="H24" s="977">
        <f t="shared" si="1"/>
        <v>0</v>
      </c>
      <c r="I24" s="700"/>
      <c r="J24" s="700"/>
      <c r="K24" s="700"/>
      <c r="L24" s="700"/>
      <c r="M24" s="700"/>
      <c r="N24" s="700"/>
      <c r="O24" s="700"/>
      <c r="P24" s="947"/>
    </row>
    <row r="25" spans="1:16" ht="13.5" thickTop="1">
      <c r="A25" s="941"/>
      <c r="B25" s="979"/>
      <c r="C25" s="980"/>
      <c r="D25" s="980"/>
      <c r="E25" s="980"/>
      <c r="F25" s="981"/>
      <c r="G25" s="981"/>
      <c r="H25" s="981"/>
      <c r="I25" s="700"/>
      <c r="J25" s="700"/>
      <c r="K25" s="700"/>
      <c r="L25" s="700"/>
      <c r="M25" s="700"/>
      <c r="N25" s="700"/>
      <c r="O25" s="700"/>
      <c r="P25" s="947"/>
    </row>
    <row r="26" spans="1:16" ht="14.25" customHeight="1">
      <c r="A26" s="941"/>
      <c r="B26" s="979"/>
      <c r="C26" s="980"/>
      <c r="D26" s="980"/>
      <c r="E26" s="980"/>
      <c r="F26" s="981"/>
      <c r="G26" s="981"/>
      <c r="H26" s="981"/>
      <c r="I26" s="700"/>
      <c r="J26" s="700"/>
      <c r="K26" s="700"/>
      <c r="L26" s="700"/>
      <c r="M26" s="700"/>
      <c r="N26" s="700"/>
      <c r="O26" s="700"/>
      <c r="P26" s="947"/>
    </row>
    <row r="27" spans="1:16" ht="12.75" customHeight="1">
      <c r="A27" s="941"/>
      <c r="B27" s="944"/>
      <c r="C27" s="2444" t="s">
        <v>1148</v>
      </c>
      <c r="D27" s="2445"/>
      <c r="E27" s="2445"/>
      <c r="F27" s="2445"/>
      <c r="G27" s="2446"/>
      <c r="H27" s="998"/>
      <c r="I27" s="998"/>
      <c r="J27" s="700"/>
      <c r="K27" s="700"/>
      <c r="L27" s="700"/>
      <c r="M27" s="700"/>
      <c r="N27" s="700"/>
      <c r="O27" s="700"/>
      <c r="P27" s="947"/>
    </row>
    <row r="28" spans="1:16" s="953" customFormat="1" ht="29.25" customHeight="1">
      <c r="A28" s="948" t="s">
        <v>1121</v>
      </c>
      <c r="B28" s="949" t="s">
        <v>1104</v>
      </c>
      <c r="C28" s="951" t="s">
        <v>1127</v>
      </c>
      <c r="D28" s="951" t="s">
        <v>1128</v>
      </c>
      <c r="E28" s="951" t="s">
        <v>1129</v>
      </c>
      <c r="F28" s="951" t="s">
        <v>1150</v>
      </c>
      <c r="G28" s="952" t="s">
        <v>1151</v>
      </c>
      <c r="J28" s="700"/>
      <c r="K28" s="700"/>
      <c r="L28" s="700"/>
      <c r="M28" s="700"/>
      <c r="N28" s="700"/>
      <c r="O28" s="700"/>
      <c r="P28" s="947"/>
    </row>
    <row r="29" spans="1:16" s="958" customFormat="1">
      <c r="A29" s="954"/>
      <c r="B29" s="955" t="s">
        <v>1130</v>
      </c>
      <c r="C29" s="957" t="s">
        <v>1131</v>
      </c>
      <c r="D29" s="957" t="s">
        <v>1132</v>
      </c>
      <c r="E29" s="957" t="s">
        <v>1133</v>
      </c>
      <c r="F29" s="957" t="s">
        <v>1134</v>
      </c>
      <c r="G29" s="957" t="s">
        <v>1135</v>
      </c>
      <c r="J29" s="700"/>
      <c r="K29" s="700"/>
      <c r="L29" s="700"/>
      <c r="M29" s="700"/>
      <c r="N29" s="700"/>
      <c r="O29" s="700"/>
      <c r="P29" s="947"/>
    </row>
    <row r="30" spans="1:16" s="958" customFormat="1" ht="52.5" customHeight="1">
      <c r="A30" s="954"/>
      <c r="B30" s="955"/>
      <c r="C30" s="960" t="s">
        <v>133</v>
      </c>
      <c r="D30" s="960" t="s">
        <v>1145</v>
      </c>
      <c r="E30" s="960" t="s">
        <v>184</v>
      </c>
      <c r="F30" s="960" t="s">
        <v>939</v>
      </c>
      <c r="G30" s="961" t="s">
        <v>939</v>
      </c>
      <c r="J30" s="700"/>
      <c r="K30" s="700"/>
      <c r="L30" s="700"/>
      <c r="M30" s="700"/>
      <c r="N30" s="700"/>
      <c r="O30" s="700"/>
      <c r="P30" s="947"/>
    </row>
    <row r="31" spans="1:16">
      <c r="A31" s="954">
        <f>+A24+1</f>
        <v>15</v>
      </c>
      <c r="B31" s="962" t="s">
        <v>1140</v>
      </c>
      <c r="C31" s="983">
        <v>50248418</v>
      </c>
      <c r="D31" s="964">
        <v>415844</v>
      </c>
      <c r="E31" s="964">
        <v>38228743</v>
      </c>
      <c r="F31" s="964">
        <v>6680898</v>
      </c>
      <c r="G31" s="964">
        <v>18572368.24432981</v>
      </c>
      <c r="J31" s="700"/>
      <c r="K31" s="700"/>
      <c r="L31" s="700"/>
      <c r="M31" s="700"/>
      <c r="N31" s="700"/>
      <c r="O31" s="700"/>
      <c r="P31" s="947"/>
    </row>
    <row r="32" spans="1:16">
      <c r="A32" s="954">
        <f>+A31+1</f>
        <v>16</v>
      </c>
      <c r="B32" s="962" t="s">
        <v>324</v>
      </c>
      <c r="C32" s="968"/>
      <c r="D32" s="968"/>
      <c r="E32" s="968"/>
      <c r="F32" s="968"/>
      <c r="G32" s="970"/>
      <c r="J32" s="700"/>
      <c r="K32" s="700"/>
      <c r="L32" s="700"/>
      <c r="M32" s="700"/>
      <c r="N32" s="700"/>
      <c r="O32" s="700"/>
      <c r="P32" s="947"/>
    </row>
    <row r="33" spans="1:16">
      <c r="A33" s="954">
        <f t="shared" ref="A33:A44" si="2">+A32+1</f>
        <v>17</v>
      </c>
      <c r="B33" s="971" t="s">
        <v>517</v>
      </c>
      <c r="C33" s="968"/>
      <c r="D33" s="968"/>
      <c r="E33" s="968"/>
      <c r="F33" s="968"/>
      <c r="G33" s="970"/>
      <c r="J33" s="700"/>
      <c r="K33" s="700"/>
      <c r="L33" s="700"/>
      <c r="M33" s="700"/>
      <c r="N33" s="700"/>
      <c r="O33" s="700"/>
      <c r="P33" s="947"/>
    </row>
    <row r="34" spans="1:16">
      <c r="A34" s="954">
        <f t="shared" si="2"/>
        <v>18</v>
      </c>
      <c r="B34" s="971" t="s">
        <v>1141</v>
      </c>
      <c r="C34" s="968"/>
      <c r="D34" s="968"/>
      <c r="E34" s="968"/>
      <c r="F34" s="968"/>
      <c r="G34" s="970"/>
      <c r="J34" s="700"/>
      <c r="K34" s="700"/>
      <c r="L34" s="700"/>
      <c r="M34" s="700"/>
      <c r="N34" s="700"/>
      <c r="O34" s="700"/>
      <c r="P34" s="947"/>
    </row>
    <row r="35" spans="1:16">
      <c r="A35" s="954">
        <f t="shared" si="2"/>
        <v>19</v>
      </c>
      <c r="B35" s="971" t="s">
        <v>326</v>
      </c>
      <c r="C35" s="968"/>
      <c r="D35" s="968"/>
      <c r="E35" s="968"/>
      <c r="F35" s="968"/>
      <c r="G35" s="970"/>
      <c r="J35" s="700"/>
      <c r="K35" s="700"/>
      <c r="L35" s="700"/>
      <c r="M35" s="700"/>
      <c r="N35" s="700"/>
      <c r="O35" s="700"/>
      <c r="P35" s="947"/>
    </row>
    <row r="36" spans="1:16">
      <c r="A36" s="954">
        <f t="shared" si="2"/>
        <v>20</v>
      </c>
      <c r="B36" s="971" t="s">
        <v>327</v>
      </c>
      <c r="C36" s="968"/>
      <c r="D36" s="968"/>
      <c r="E36" s="968"/>
      <c r="F36" s="968"/>
      <c r="G36" s="970"/>
      <c r="J36" s="700"/>
      <c r="K36" s="700"/>
      <c r="L36" s="700"/>
      <c r="M36" s="700"/>
      <c r="N36" s="700"/>
      <c r="O36" s="700"/>
      <c r="P36" s="947"/>
    </row>
    <row r="37" spans="1:16">
      <c r="A37" s="954">
        <f t="shared" si="2"/>
        <v>21</v>
      </c>
      <c r="B37" s="971" t="s">
        <v>48</v>
      </c>
      <c r="C37" s="968"/>
      <c r="D37" s="968"/>
      <c r="E37" s="968"/>
      <c r="F37" s="968"/>
      <c r="G37" s="970"/>
      <c r="J37" s="700"/>
      <c r="K37" s="700"/>
      <c r="L37" s="700"/>
      <c r="M37" s="700"/>
      <c r="N37" s="700"/>
      <c r="O37" s="700"/>
      <c r="P37" s="947"/>
    </row>
    <row r="38" spans="1:16">
      <c r="A38" s="954">
        <f t="shared" si="2"/>
        <v>22</v>
      </c>
      <c r="B38" s="971" t="s">
        <v>328</v>
      </c>
      <c r="C38" s="968"/>
      <c r="D38" s="968"/>
      <c r="E38" s="968"/>
      <c r="F38" s="968"/>
      <c r="G38" s="970"/>
      <c r="J38" s="700"/>
      <c r="K38" s="700"/>
      <c r="L38" s="700"/>
      <c r="M38" s="700"/>
      <c r="N38" s="700"/>
      <c r="O38" s="700"/>
      <c r="P38" s="947"/>
    </row>
    <row r="39" spans="1:16">
      <c r="A39" s="954">
        <f t="shared" si="2"/>
        <v>23</v>
      </c>
      <c r="B39" s="971" t="s">
        <v>1142</v>
      </c>
      <c r="C39" s="968"/>
      <c r="D39" s="968"/>
      <c r="E39" s="968"/>
      <c r="F39" s="968"/>
      <c r="G39" s="970"/>
      <c r="J39" s="700"/>
      <c r="K39" s="700"/>
      <c r="L39" s="700"/>
      <c r="M39" s="700"/>
      <c r="N39" s="700"/>
      <c r="O39" s="700"/>
      <c r="P39" s="947"/>
    </row>
    <row r="40" spans="1:16">
      <c r="A40" s="954">
        <f t="shared" si="2"/>
        <v>24</v>
      </c>
      <c r="B40" s="971" t="s">
        <v>331</v>
      </c>
      <c r="C40" s="968"/>
      <c r="D40" s="968"/>
      <c r="E40" s="968"/>
      <c r="F40" s="968"/>
      <c r="G40" s="970"/>
      <c r="J40" s="700"/>
      <c r="K40" s="700"/>
      <c r="L40" s="700"/>
      <c r="M40" s="700"/>
      <c r="N40" s="700"/>
      <c r="O40" s="700"/>
      <c r="P40" s="947"/>
    </row>
    <row r="41" spans="1:16">
      <c r="A41" s="954">
        <f t="shared" si="2"/>
        <v>25</v>
      </c>
      <c r="B41" s="971" t="s">
        <v>518</v>
      </c>
      <c r="C41" s="968"/>
      <c r="D41" s="968"/>
      <c r="E41" s="968"/>
      <c r="F41" s="968"/>
      <c r="G41" s="970"/>
      <c r="J41" s="700"/>
      <c r="K41" s="700"/>
      <c r="L41" s="700"/>
      <c r="M41" s="700"/>
      <c r="N41" s="700"/>
      <c r="O41" s="700"/>
      <c r="P41" s="947"/>
    </row>
    <row r="42" spans="1:16">
      <c r="A42" s="954">
        <f t="shared" si="2"/>
        <v>26</v>
      </c>
      <c r="B42" s="971" t="s">
        <v>519</v>
      </c>
      <c r="C42" s="968"/>
      <c r="D42" s="968"/>
      <c r="E42" s="968"/>
      <c r="F42" s="968"/>
      <c r="G42" s="970"/>
      <c r="J42" s="700"/>
      <c r="K42" s="700"/>
      <c r="L42" s="700"/>
      <c r="M42" s="700"/>
      <c r="N42" s="700"/>
      <c r="O42" s="700"/>
      <c r="P42" s="947"/>
    </row>
    <row r="43" spans="1:16">
      <c r="A43" s="972">
        <f t="shared" si="2"/>
        <v>27</v>
      </c>
      <c r="B43" s="973" t="s">
        <v>1143</v>
      </c>
      <c r="C43" s="964">
        <v>38966140</v>
      </c>
      <c r="D43" s="964">
        <v>436103</v>
      </c>
      <c r="E43" s="964">
        <v>45701969</v>
      </c>
      <c r="F43" s="964">
        <v>7464230</v>
      </c>
      <c r="G43" s="964">
        <v>19715587.534241438</v>
      </c>
      <c r="J43" s="700"/>
      <c r="K43" s="700"/>
      <c r="L43" s="700"/>
      <c r="M43" s="700"/>
      <c r="N43" s="700"/>
      <c r="O43" s="700"/>
      <c r="P43" s="947"/>
    </row>
    <row r="44" spans="1:16" ht="26.25" thickBot="1">
      <c r="A44" s="974">
        <f t="shared" si="2"/>
        <v>28</v>
      </c>
      <c r="B44" s="975" t="s">
        <v>1387</v>
      </c>
      <c r="C44" s="977">
        <f t="shared" ref="C44" si="3">+(C31+C43)/2</f>
        <v>44607279</v>
      </c>
      <c r="D44" s="977">
        <f t="shared" ref="D44" si="4">+(D31+D43)/2</f>
        <v>425973.5</v>
      </c>
      <c r="E44" s="977">
        <f t="shared" ref="E44" si="5">+(E31+E43)/2</f>
        <v>41965356</v>
      </c>
      <c r="F44" s="977">
        <f t="shared" ref="F44" si="6">+(F31+F43)/2</f>
        <v>7072564</v>
      </c>
      <c r="G44" s="978">
        <f t="shared" ref="G44" si="7">+(G31+G43)/2</f>
        <v>19143977.889285624</v>
      </c>
      <c r="J44" s="700"/>
      <c r="K44" s="700"/>
      <c r="L44" s="700"/>
      <c r="M44" s="700"/>
      <c r="N44" s="700"/>
      <c r="O44" s="700"/>
      <c r="P44" s="947"/>
    </row>
    <row r="45" spans="1:16" ht="13.5" thickTop="1">
      <c r="A45" s="941"/>
      <c r="B45" s="979"/>
      <c r="C45" s="980"/>
      <c r="D45" s="980"/>
      <c r="E45" s="980"/>
      <c r="F45" s="981"/>
      <c r="G45" s="981"/>
      <c r="H45" s="700"/>
      <c r="I45" s="700"/>
      <c r="J45" s="700"/>
      <c r="K45" s="700"/>
      <c r="L45" s="700"/>
      <c r="M45" s="700"/>
      <c r="N45" s="700"/>
      <c r="O45" s="700"/>
      <c r="P45" s="947"/>
    </row>
    <row r="46" spans="1:16" s="1002" customFormat="1">
      <c r="A46" s="999">
        <f>+A44+1</f>
        <v>29</v>
      </c>
      <c r="B46" s="1000" t="str">
        <f>"Transmission Accumulated,  net of GSU and Excluded- Ln "&amp;A24&amp;" Col "&amp;E9&amp;" less Ln "&amp;A44&amp;" Cols. "&amp;F29&amp;" &amp; "&amp;G29</f>
        <v>Transmission Accumulated,  net of GSU and Excluded- Ln 14 Col (d) less Ln 28 Cols. (e) &amp; (f)</v>
      </c>
      <c r="C46" s="1001"/>
      <c r="D46" s="1001"/>
      <c r="G46" s="1003">
        <f>+E24-F44-G44</f>
        <v>181980748.11071438</v>
      </c>
      <c r="H46" s="1004"/>
      <c r="I46" s="1004"/>
      <c r="J46" s="1004"/>
      <c r="K46" s="1001"/>
      <c r="L46" s="1001"/>
      <c r="M46" s="1001"/>
      <c r="N46" s="1005"/>
      <c r="O46" s="1005"/>
      <c r="P46" s="1006"/>
    </row>
    <row r="47" spans="1:16">
      <c r="A47" s="941"/>
      <c r="B47" s="979"/>
      <c r="C47" s="980"/>
      <c r="D47" s="980"/>
      <c r="E47" s="980"/>
      <c r="F47" s="981"/>
      <c r="G47" s="981"/>
      <c r="H47" s="981"/>
      <c r="I47" s="981"/>
      <c r="J47" s="981"/>
      <c r="K47" s="980"/>
      <c r="L47" s="980"/>
      <c r="M47" s="980"/>
      <c r="N47" s="984"/>
      <c r="O47" s="984"/>
      <c r="P47" s="947"/>
    </row>
    <row r="48" spans="1:16">
      <c r="A48" s="941"/>
      <c r="B48" s="979"/>
      <c r="C48" s="980"/>
      <c r="D48" s="980"/>
      <c r="E48" s="980"/>
      <c r="F48" s="981"/>
      <c r="G48" s="981"/>
      <c r="H48" s="981"/>
      <c r="I48" s="981"/>
      <c r="J48" s="981"/>
      <c r="K48" s="980"/>
      <c r="L48" s="980"/>
      <c r="M48" s="980"/>
      <c r="N48" s="984"/>
      <c r="O48" s="984"/>
      <c r="P48" s="947"/>
    </row>
    <row r="49" spans="1:8">
      <c r="A49" s="996"/>
      <c r="B49" s="996"/>
      <c r="C49" s="996"/>
      <c r="D49" s="996"/>
      <c r="E49" s="996"/>
      <c r="F49" s="996"/>
      <c r="G49" s="996"/>
      <c r="H49" s="996"/>
    </row>
    <row r="50" spans="1:8">
      <c r="A50" s="996"/>
      <c r="B50" s="996"/>
      <c r="C50" s="996"/>
      <c r="D50" s="996"/>
      <c r="E50" s="996"/>
      <c r="F50" s="996"/>
      <c r="G50" s="996"/>
      <c r="H50" s="996"/>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D9" sqref="D9"/>
    </sheetView>
  </sheetViews>
  <sheetFormatPr defaultColWidth="9.140625" defaultRowHeight="12.75"/>
  <cols>
    <col min="1" max="1" width="9.140625" style="1008"/>
    <col min="2" max="3" width="27.7109375" style="1008" customWidth="1"/>
    <col min="4" max="4" width="41.28515625" style="1008" customWidth="1"/>
    <col min="5" max="16384" width="9.140625" style="1008"/>
  </cols>
  <sheetData>
    <row r="1" spans="1:13" ht="15">
      <c r="A1" s="1007"/>
    </row>
    <row r="2" spans="1:13" ht="15">
      <c r="A2" s="2447" t="str">
        <f>+'PSO TCOS'!F4</f>
        <v xml:space="preserve">AEP West SPP Member Operating Companies </v>
      </c>
      <c r="B2" s="2447"/>
      <c r="C2" s="2447"/>
      <c r="D2" s="2447"/>
      <c r="E2" s="785"/>
      <c r="F2" s="785"/>
      <c r="G2" s="785"/>
      <c r="H2" s="785"/>
      <c r="I2" s="785"/>
      <c r="J2" s="785"/>
      <c r="K2" s="785"/>
      <c r="L2" s="785"/>
      <c r="M2" s="785"/>
    </row>
    <row r="3" spans="1:13" ht="15">
      <c r="A3" s="2441" t="str">
        <f>+'PSO WS A-1 - Plant'!A3</f>
        <v xml:space="preserve">Actual / Projected 2018 Rate Year Cost of Service Formula Rate </v>
      </c>
      <c r="B3" s="2441"/>
      <c r="C3" s="2441"/>
      <c r="D3" s="2441"/>
      <c r="E3" s="940"/>
      <c r="F3" s="940"/>
      <c r="G3" s="940"/>
      <c r="H3" s="940"/>
      <c r="I3" s="940"/>
      <c r="J3" s="940"/>
      <c r="K3" s="940"/>
      <c r="L3" s="940"/>
      <c r="M3" s="940"/>
    </row>
    <row r="4" spans="1:13" ht="15.75">
      <c r="A4" s="2442" t="s">
        <v>885</v>
      </c>
      <c r="B4" s="2442"/>
      <c r="C4" s="2442"/>
      <c r="D4" s="2442"/>
      <c r="E4" s="940"/>
      <c r="F4" s="940"/>
      <c r="G4" s="940"/>
      <c r="H4" s="940"/>
      <c r="I4" s="940"/>
      <c r="J4" s="940"/>
      <c r="K4" s="940"/>
      <c r="L4" s="940"/>
      <c r="M4" s="940"/>
    </row>
    <row r="5" spans="1:13" ht="15.75">
      <c r="A5" s="2448" t="str">
        <f>+'PSO TCOS'!F8</f>
        <v>PUBLIC SERVICE COMPANY OF OKLAHOMA</v>
      </c>
      <c r="B5" s="2448"/>
      <c r="C5" s="2448"/>
      <c r="D5" s="2448"/>
      <c r="E5" s="1009"/>
      <c r="F5" s="1009"/>
      <c r="G5" s="1009"/>
      <c r="H5" s="1009"/>
      <c r="I5" s="1009"/>
      <c r="J5" s="1009"/>
      <c r="K5" s="1009"/>
      <c r="L5" s="1009"/>
      <c r="M5" s="1009"/>
    </row>
    <row r="6" spans="1:13">
      <c r="A6" s="1010"/>
      <c r="B6" s="1010"/>
      <c r="C6" s="1010"/>
      <c r="D6" s="1010"/>
    </row>
    <row r="7" spans="1:13" ht="14.25">
      <c r="A7" s="1011" t="s">
        <v>529</v>
      </c>
      <c r="B7" s="1012"/>
      <c r="C7" s="1013" t="s">
        <v>347</v>
      </c>
      <c r="D7" s="1014" t="s">
        <v>311</v>
      </c>
    </row>
    <row r="8" spans="1:13" ht="15">
      <c r="A8" s="1015"/>
      <c r="B8" s="1016"/>
      <c r="C8" s="1017"/>
      <c r="D8" s="1017"/>
    </row>
    <row r="9" spans="1:13" ht="14.25">
      <c r="A9" s="1018">
        <v>1</v>
      </c>
      <c r="B9" s="1019" t="s">
        <v>531</v>
      </c>
      <c r="C9" s="1020"/>
      <c r="D9" s="964">
        <v>0</v>
      </c>
    </row>
    <row r="10" spans="1:13" ht="14.25">
      <c r="A10" s="1020"/>
      <c r="B10" s="1020"/>
      <c r="C10" s="1020"/>
      <c r="D10" s="1020"/>
    </row>
    <row r="11" spans="1:13" ht="14.25">
      <c r="A11" s="1020"/>
      <c r="B11" s="1020"/>
      <c r="C11" s="1020"/>
      <c r="D11" s="1020"/>
    </row>
    <row r="12" spans="1:13" ht="119.25" customHeight="1">
      <c r="A12" s="1021" t="s">
        <v>530</v>
      </c>
      <c r="B12" s="2449" t="s">
        <v>880</v>
      </c>
      <c r="C12" s="2449"/>
      <c r="D12" s="2449"/>
    </row>
    <row r="13" spans="1:13" ht="14.25">
      <c r="A13" s="1020"/>
      <c r="B13" s="1020"/>
      <c r="C13" s="1020"/>
      <c r="D13" s="1020"/>
    </row>
    <row r="14" spans="1:13" ht="14.25">
      <c r="A14" s="1020"/>
      <c r="B14" s="1020"/>
      <c r="C14" s="1020"/>
      <c r="D14" s="1020"/>
    </row>
    <row r="15" spans="1:13" s="1023" customFormat="1" ht="14.25">
      <c r="A15" s="1022"/>
      <c r="B15" s="1022"/>
      <c r="C15" s="1022"/>
      <c r="D15" s="1022"/>
    </row>
    <row r="16" spans="1:13" s="1023" customFormat="1" ht="14.25">
      <c r="A16" s="1024"/>
      <c r="B16" s="1025"/>
      <c r="C16" s="1022"/>
      <c r="D16" s="1022"/>
    </row>
    <row r="17" spans="1:2" ht="15" customHeight="1">
      <c r="A17" s="1026"/>
    </row>
    <row r="18" spans="1:2" ht="15.75">
      <c r="B18" s="1027"/>
    </row>
    <row r="19" spans="1:2" ht="15.75">
      <c r="B19" s="1027"/>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F549E491-78DE-4DD6-925B-5132C1BDFA8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F BPU ATRR'!Print_Area</vt:lpstr>
      <vt:lpstr>'PSO WS G BPU ATRR'!Print_Area</vt:lpstr>
      <vt:lpstr>'PSO WS M - Cost of Capital'!Print_Area</vt:lpstr>
      <vt:lpstr>'SWE Sch 11 Rates'!Print_Area</vt:lpstr>
      <vt:lpstr>'SWEPCO WS F BPU ATRR'!Print_Area</vt:lpstr>
      <vt:lpstr>'SWEPCO WS G BPU ATRR'!Print_Area</vt:lpstr>
      <vt:lpstr>'PSO Sch 11 Rates'!Print_Titles</vt:lpstr>
      <vt:lpstr>'SWE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2020-02-06T18:56:07Z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e5de0823-b9fe-40f5-b916-84a6bf30d05e</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ies>
</file>